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aacmarchseptember2021disbursement\"/>
    </mc:Choice>
  </mc:AlternateContent>
  <xr:revisionPtr revIDLastSave="0" documentId="13_ncr:1_{24FB5CB5-328D-4916-8B53-482F41285FC3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MONTHENTRY" sheetId="8" state="hidden" r:id="rId1"/>
    <sheet name="Sum &amp; FG" sheetId="4" r:id="rId2"/>
    <sheet name="SG Details" sheetId="1" r:id="rId3"/>
    <sheet name="States Ecology March 2021" sheetId="12" r:id="rId4"/>
    <sheet name="Sum Lgcs" sheetId="16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Details'!$A$2:$S$56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2" l="1"/>
  <c r="F27" i="12"/>
  <c r="F28" i="12"/>
  <c r="F29" i="12"/>
  <c r="F32" i="12"/>
  <c r="F37" i="12"/>
  <c r="E37" i="12"/>
  <c r="E32" i="12"/>
  <c r="E29" i="12"/>
  <c r="E28" i="12"/>
  <c r="E27" i="12"/>
  <c r="E13" i="12"/>
  <c r="D13" i="12"/>
  <c r="D27" i="12"/>
  <c r="D28" i="12"/>
  <c r="D29" i="12"/>
  <c r="D32" i="12"/>
  <c r="D37" i="12"/>
  <c r="H44" i="16" l="1"/>
  <c r="I44" i="16"/>
  <c r="G44" i="16"/>
  <c r="F44" i="16"/>
  <c r="D44" i="16"/>
  <c r="E43" i="16"/>
  <c r="J43" i="16" s="1"/>
  <c r="E42" i="16"/>
  <c r="J42" i="16" s="1"/>
  <c r="E41" i="16"/>
  <c r="J41" i="16" s="1"/>
  <c r="E40" i="16"/>
  <c r="J40" i="16" s="1"/>
  <c r="E39" i="16"/>
  <c r="J39" i="16" s="1"/>
  <c r="E38" i="16"/>
  <c r="J38" i="16" s="1"/>
  <c r="E37" i="16"/>
  <c r="J37" i="16" s="1"/>
  <c r="E36" i="16"/>
  <c r="J36" i="16" s="1"/>
  <c r="E35" i="16"/>
  <c r="J35" i="16" s="1"/>
  <c r="E34" i="16"/>
  <c r="J34" i="16" s="1"/>
  <c r="E33" i="16"/>
  <c r="J33" i="16" s="1"/>
  <c r="E32" i="16"/>
  <c r="J32" i="16" s="1"/>
  <c r="E31" i="16"/>
  <c r="J31" i="16" s="1"/>
  <c r="E30" i="16"/>
  <c r="J30" i="16" s="1"/>
  <c r="E29" i="16"/>
  <c r="J29" i="16" s="1"/>
  <c r="E28" i="16"/>
  <c r="J28" i="16" s="1"/>
  <c r="E27" i="16"/>
  <c r="J27" i="16" s="1"/>
  <c r="E26" i="16"/>
  <c r="J26" i="16" s="1"/>
  <c r="E25" i="16"/>
  <c r="J25" i="16" s="1"/>
  <c r="E24" i="16"/>
  <c r="J24" i="16" s="1"/>
  <c r="E23" i="16"/>
  <c r="J23" i="16" s="1"/>
  <c r="E22" i="16"/>
  <c r="J22" i="16" s="1"/>
  <c r="E21" i="16"/>
  <c r="J21" i="16" s="1"/>
  <c r="E20" i="16"/>
  <c r="J20" i="16" s="1"/>
  <c r="E19" i="16"/>
  <c r="J19" i="16" s="1"/>
  <c r="E18" i="16"/>
  <c r="J18" i="16" s="1"/>
  <c r="E17" i="16"/>
  <c r="J17" i="16" s="1"/>
  <c r="E16" i="16"/>
  <c r="J16" i="16" s="1"/>
  <c r="E15" i="16"/>
  <c r="J15" i="16" s="1"/>
  <c r="E14" i="16"/>
  <c r="J14" i="16" s="1"/>
  <c r="E13" i="16"/>
  <c r="J13" i="16" s="1"/>
  <c r="E12" i="16"/>
  <c r="J12" i="16" s="1"/>
  <c r="E11" i="16"/>
  <c r="J11" i="16" s="1"/>
  <c r="E10" i="16"/>
  <c r="J10" i="16" s="1"/>
  <c r="E9" i="16"/>
  <c r="J9" i="16" s="1"/>
  <c r="O8" i="16"/>
  <c r="E8" i="16"/>
  <c r="J8" i="16" s="1"/>
  <c r="O7" i="16"/>
  <c r="E7" i="16"/>
  <c r="J7" i="16" s="1"/>
  <c r="G48" i="1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O48" i="1"/>
  <c r="N48" i="1"/>
  <c r="M48" i="1"/>
  <c r="L48" i="1"/>
  <c r="K48" i="1"/>
  <c r="H48" i="1"/>
  <c r="E48" i="1"/>
  <c r="D48" i="1"/>
  <c r="G27" i="12"/>
  <c r="G37" i="12"/>
  <c r="G29" i="12"/>
  <c r="G28" i="12"/>
  <c r="G7" i="12"/>
  <c r="I33" i="1"/>
  <c r="I22" i="1"/>
  <c r="F10" i="1"/>
  <c r="F21" i="4"/>
  <c r="E21" i="4"/>
  <c r="D21" i="4"/>
  <c r="C21" i="4"/>
  <c r="F18" i="1"/>
  <c r="Q18" i="1" s="1"/>
  <c r="F20" i="1"/>
  <c r="J20" i="1" s="1"/>
  <c r="P20" i="1"/>
  <c r="F36" i="1"/>
  <c r="Q36" i="1" s="1"/>
  <c r="F14" i="1"/>
  <c r="Q14" i="1" s="1"/>
  <c r="F22" i="1"/>
  <c r="Q22" i="1" s="1"/>
  <c r="F25" i="1"/>
  <c r="Q25" i="1" s="1"/>
  <c r="F30" i="1"/>
  <c r="Q30" i="1" s="1"/>
  <c r="P11" i="1"/>
  <c r="P12" i="1"/>
  <c r="P13" i="1"/>
  <c r="P14" i="1"/>
  <c r="P15" i="1"/>
  <c r="P16" i="1"/>
  <c r="P17" i="1"/>
  <c r="P18" i="1"/>
  <c r="P19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10" i="1"/>
  <c r="Q10" i="1"/>
  <c r="F11" i="1"/>
  <c r="J11" i="1" s="1"/>
  <c r="F12" i="1"/>
  <c r="J12" i="1" s="1"/>
  <c r="F13" i="1"/>
  <c r="Q13" i="1" s="1"/>
  <c r="F15" i="1"/>
  <c r="J15" i="1" s="1"/>
  <c r="F16" i="1"/>
  <c r="Q16" i="1" s="1"/>
  <c r="F17" i="1"/>
  <c r="Q17" i="1" s="1"/>
  <c r="F19" i="1"/>
  <c r="J19" i="1" s="1"/>
  <c r="F21" i="1"/>
  <c r="J21" i="1" s="1"/>
  <c r="F23" i="1"/>
  <c r="J23" i="1" s="1"/>
  <c r="F24" i="1"/>
  <c r="J24" i="1" s="1"/>
  <c r="F26" i="1"/>
  <c r="J26" i="1" s="1"/>
  <c r="F27" i="1"/>
  <c r="Q27" i="1" s="1"/>
  <c r="F28" i="1"/>
  <c r="J28" i="1" s="1"/>
  <c r="R28" i="1" s="1"/>
  <c r="F29" i="1"/>
  <c r="Q29" i="1" s="1"/>
  <c r="J30" i="1"/>
  <c r="R30" i="1" s="1"/>
  <c r="F31" i="1"/>
  <c r="J31" i="1" s="1"/>
  <c r="F32" i="1"/>
  <c r="J32" i="1" s="1"/>
  <c r="F33" i="1"/>
  <c r="Q33" i="1" s="1"/>
  <c r="F34" i="1"/>
  <c r="Q34" i="1" s="1"/>
  <c r="F35" i="1"/>
  <c r="Q35" i="1" s="1"/>
  <c r="Q28" i="1"/>
  <c r="Q11" i="1"/>
  <c r="G22" i="12"/>
  <c r="G42" i="12"/>
  <c r="G41" i="12"/>
  <c r="G40" i="12"/>
  <c r="G39" i="12"/>
  <c r="G38" i="12"/>
  <c r="G36" i="12"/>
  <c r="G35" i="12"/>
  <c r="G34" i="12"/>
  <c r="G33" i="12"/>
  <c r="G31" i="12"/>
  <c r="G30" i="12"/>
  <c r="G26" i="12"/>
  <c r="G25" i="12"/>
  <c r="G24" i="12"/>
  <c r="G23" i="12"/>
  <c r="G21" i="12"/>
  <c r="G20" i="12"/>
  <c r="G19" i="12"/>
  <c r="G18" i="12"/>
  <c r="G17" i="12"/>
  <c r="G16" i="12"/>
  <c r="G15" i="12"/>
  <c r="G14" i="12"/>
  <c r="G12" i="12"/>
  <c r="G11" i="12"/>
  <c r="G10" i="12"/>
  <c r="G9" i="12"/>
  <c r="G8" i="12"/>
  <c r="F37" i="1"/>
  <c r="Q37" i="1" s="1"/>
  <c r="F38" i="1"/>
  <c r="Q38" i="1" s="1"/>
  <c r="F39" i="1"/>
  <c r="Q39" i="1" s="1"/>
  <c r="F40" i="1"/>
  <c r="J40" i="1" s="1"/>
  <c r="Q40" i="1"/>
  <c r="F41" i="1"/>
  <c r="Q41" i="1" s="1"/>
  <c r="F42" i="1"/>
  <c r="Q42" i="1" s="1"/>
  <c r="F43" i="1"/>
  <c r="Q43" i="1" s="1"/>
  <c r="F44" i="1"/>
  <c r="Q44" i="1" s="1"/>
  <c r="F45" i="1"/>
  <c r="Q45" i="1" s="1"/>
  <c r="F46" i="1"/>
  <c r="Q46" i="1" s="1"/>
  <c r="F47" i="1"/>
  <c r="Q47" i="1" s="1"/>
  <c r="E29" i="4"/>
  <c r="E30" i="4"/>
  <c r="I30" i="4" s="1"/>
  <c r="E31" i="4"/>
  <c r="I31" i="4" s="1"/>
  <c r="E32" i="4"/>
  <c r="I32" i="4"/>
  <c r="E33" i="4"/>
  <c r="I33" i="4"/>
  <c r="D34" i="4"/>
  <c r="C34" i="4"/>
  <c r="H34" i="4"/>
  <c r="G34" i="4"/>
  <c r="F34" i="4"/>
  <c r="F5" i="8"/>
  <c r="F12" i="8" s="1"/>
  <c r="B1" i="8"/>
  <c r="C1" i="8"/>
  <c r="J38" i="1"/>
  <c r="R38" i="1" s="1"/>
  <c r="G5" i="8"/>
  <c r="B5" i="8" s="1"/>
  <c r="J18" i="1"/>
  <c r="R18" i="1" s="1"/>
  <c r="J34" i="1"/>
  <c r="R34" i="1" s="1"/>
  <c r="Q32" i="1"/>
  <c r="J36" i="1"/>
  <c r="Q24" i="1"/>
  <c r="J10" i="1"/>
  <c r="J44" i="1" l="1"/>
  <c r="J46" i="1"/>
  <c r="R46" i="1" s="1"/>
  <c r="R31" i="1"/>
  <c r="E34" i="4"/>
  <c r="J29" i="1"/>
  <c r="J39" i="1"/>
  <c r="R39" i="1" s="1"/>
  <c r="J14" i="1"/>
  <c r="J25" i="1"/>
  <c r="R26" i="1"/>
  <c r="J22" i="1"/>
  <c r="R22" i="1" s="1"/>
  <c r="R10" i="1"/>
  <c r="R23" i="1"/>
  <c r="J44" i="16"/>
  <c r="E44" i="16"/>
  <c r="E43" i="12"/>
  <c r="G21" i="4"/>
  <c r="R40" i="1"/>
  <c r="I29" i="4"/>
  <c r="I34" i="4" s="1"/>
  <c r="G32" i="12"/>
  <c r="R15" i="1"/>
  <c r="R24" i="1"/>
  <c r="J33" i="1"/>
  <c r="R33" i="1" s="1"/>
  <c r="Q15" i="1"/>
  <c r="R32" i="1"/>
  <c r="Q19" i="1"/>
  <c r="J13" i="1"/>
  <c r="R13" i="1" s="1"/>
  <c r="R19" i="1"/>
  <c r="R11" i="1"/>
  <c r="R20" i="1"/>
  <c r="R44" i="1"/>
  <c r="J47" i="1"/>
  <c r="R47" i="1" s="1"/>
  <c r="Q31" i="1"/>
  <c r="R14" i="1"/>
  <c r="J41" i="1"/>
  <c r="R41" i="1" s="1"/>
  <c r="R36" i="1"/>
  <c r="J43" i="1"/>
  <c r="R43" i="1" s="1"/>
  <c r="R29" i="1"/>
  <c r="I48" i="1"/>
  <c r="J42" i="1"/>
  <c r="R42" i="1" s="1"/>
  <c r="R21" i="1"/>
  <c r="R12" i="1"/>
  <c r="J27" i="1"/>
  <c r="R27" i="1" s="1"/>
  <c r="J45" i="1"/>
  <c r="R45" i="1" s="1"/>
  <c r="R25" i="1"/>
  <c r="J35" i="1"/>
  <c r="R35" i="1" s="1"/>
  <c r="Q26" i="1"/>
  <c r="J16" i="1"/>
  <c r="R16" i="1" s="1"/>
  <c r="J37" i="1"/>
  <c r="R37" i="1" s="1"/>
  <c r="P48" i="1"/>
  <c r="Q23" i="1"/>
  <c r="Q20" i="1"/>
  <c r="F17" i="8"/>
  <c r="C5" i="8"/>
  <c r="B6" i="8" s="1"/>
  <c r="F15" i="8"/>
  <c r="F6" i="8"/>
  <c r="B18" i="8"/>
  <c r="B11" i="8"/>
  <c r="B16" i="8"/>
  <c r="B14" i="8"/>
  <c r="B10" i="8"/>
  <c r="B8" i="8"/>
  <c r="B9" i="8"/>
  <c r="B19" i="8"/>
  <c r="B13" i="8"/>
  <c r="B17" i="8"/>
  <c r="B12" i="8"/>
  <c r="B15" i="8"/>
  <c r="F48" i="1"/>
  <c r="Q21" i="1"/>
  <c r="F9" i="8"/>
  <c r="F16" i="8"/>
  <c r="F14" i="8"/>
  <c r="F18" i="8"/>
  <c r="F13" i="8"/>
  <c r="F11" i="8"/>
  <c r="Q12" i="1"/>
  <c r="J17" i="1"/>
  <c r="R17" i="1" s="1"/>
  <c r="F8" i="8"/>
  <c r="G13" i="12"/>
  <c r="F43" i="12"/>
  <c r="F10" i="8"/>
  <c r="F19" i="8"/>
  <c r="G43" i="12" l="1"/>
  <c r="R48" i="1"/>
  <c r="J48" i="1"/>
  <c r="Q48" i="1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 OJ</author>
  </authors>
  <commentList>
    <comment ref="J1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MR OJ: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<sst xmlns="http://schemas.openxmlformats.org/spreadsheetml/2006/main" count="282" uniqueCount="213">
  <si>
    <t>S/n</t>
  </si>
  <si>
    <t>No. of LGCs</t>
  </si>
  <si>
    <t>Gross Total</t>
  </si>
  <si>
    <t>External Debt</t>
  </si>
  <si>
    <t>Stabilization</t>
  </si>
  <si>
    <t>Development of Natural Resources</t>
  </si>
  <si>
    <t>FCT-Abuja</t>
  </si>
  <si>
    <t>Gross Statutory Allocation</t>
  </si>
  <si>
    <t>6=4+5</t>
  </si>
  <si>
    <t>10=6-(7+8+9)</t>
  </si>
  <si>
    <t>Sub-total</t>
  </si>
  <si>
    <t>Contractual Obligation (ISPO)</t>
  </si>
  <si>
    <t>Net Statutory Allocation</t>
  </si>
  <si>
    <t>Total Net Amount</t>
  </si>
  <si>
    <t>Statutory</t>
  </si>
  <si>
    <t>Total (States/LGCs)</t>
  </si>
  <si>
    <t>Total</t>
  </si>
  <si>
    <t>13% Derivation Fund</t>
  </si>
  <si>
    <t>FGN (CRF Account)</t>
  </si>
  <si>
    <t>Share of Derivation &amp; Ecology</t>
  </si>
  <si>
    <t>Beneficiaries</t>
  </si>
  <si>
    <t>Table I</t>
  </si>
  <si>
    <t>Table II</t>
  </si>
  <si>
    <t>FGN (see Table II)</t>
  </si>
  <si>
    <t>Table III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</si>
  <si>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</t>
    </r>
  </si>
  <si>
    <t>Deductions</t>
  </si>
  <si>
    <t>VAT</t>
  </si>
  <si>
    <t>Total Gross Amount</t>
  </si>
  <si>
    <t>State (see Table III)</t>
  </si>
  <si>
    <t>LGCs (see Table IV)</t>
  </si>
  <si>
    <t>……………………………………………………………</t>
  </si>
  <si>
    <t>Federal Ministry of Finance, Abuja</t>
  </si>
  <si>
    <r>
      <t xml:space="preserve">Source: </t>
    </r>
    <r>
      <rPr>
        <b/>
        <sz val="16"/>
        <rFont val="Arial"/>
        <family val="2"/>
      </rPr>
      <t>Office of the Accountant-General of the Federation</t>
    </r>
  </si>
  <si>
    <t>Abuja. Nigeria.</t>
  </si>
  <si>
    <t>13% Share of Derivation (Net)</t>
  </si>
  <si>
    <t>Payment for Fertilizer, State Water Supply Project, State Agricultural Project and National Fadama Project</t>
  </si>
  <si>
    <t>Check!!</t>
  </si>
  <si>
    <t>Cost of Collection - NCS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</si>
  <si>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</si>
  <si>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</si>
  <si>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</si>
  <si>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</si>
  <si>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</si>
  <si>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</si>
  <si>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</si>
  <si>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</si>
  <si>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</si>
  <si>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</si>
  <si>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</si>
  <si>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</si>
  <si>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</si>
  <si>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</si>
  <si>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</si>
  <si>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</si>
  <si>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</si>
  <si>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</si>
  <si>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</si>
  <si>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</si>
  <si>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</si>
  <si>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</si>
  <si>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</si>
  <si>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</si>
  <si>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</si>
  <si>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</si>
  <si>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</si>
  <si>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</si>
  <si>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</si>
  <si>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</si>
  <si>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</si>
  <si>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</si>
  <si>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</si>
  <si>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</si>
  <si>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</si>
  <si>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</si>
  <si>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Gross VAT Allocation</t>
  </si>
  <si>
    <t>FCT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</si>
  <si>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</si>
  <si>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</si>
  <si>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</si>
  <si>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</si>
  <si>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</si>
  <si>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</si>
  <si>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</si>
  <si>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</si>
  <si>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</si>
  <si>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</si>
  <si>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</si>
  <si>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</si>
  <si>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</si>
  <si>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</si>
  <si>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</si>
  <si>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</si>
  <si>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</si>
  <si>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Less DeductionS</t>
  </si>
  <si>
    <t>Other Deductions   (see Note)</t>
  </si>
  <si>
    <t>FOREX Equalization for the Month</t>
  </si>
  <si>
    <t>Distribution of Excess Bank Charges for the Month</t>
  </si>
  <si>
    <r>
      <t xml:space="preserve">Source: </t>
    </r>
    <r>
      <rPr>
        <b/>
        <sz val="18"/>
        <rFont val="Times New Roman"/>
        <family val="1"/>
      </rPr>
      <t>Office of the Accountant-General of the Federation</t>
    </r>
  </si>
  <si>
    <r>
      <t xml:space="preserve">The above information is also available on the Federal Ministry of Finance website </t>
    </r>
    <r>
      <rPr>
        <b/>
        <u/>
        <sz val="18"/>
        <rFont val="Times New Roman"/>
        <family val="1"/>
      </rPr>
      <t>www.fmf.gov.ng</t>
    </r>
    <r>
      <rPr>
        <b/>
        <sz val="18"/>
        <rFont val="Times New Roman"/>
        <family val="1"/>
      </rPr>
      <t xml:space="preserve"> and Office of Accountant-General of the Federation website </t>
    </r>
    <r>
      <rPr>
        <b/>
        <u/>
        <sz val="18"/>
        <rFont val="Times New Roman"/>
        <family val="1"/>
      </rPr>
      <t>www.oagf.gov.ng</t>
    </r>
    <r>
      <rPr>
        <b/>
        <sz val="18"/>
        <rFont val="Times New Roman"/>
        <family val="1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8"/>
        <rFont val="Times New Roman"/>
        <family val="1"/>
      </rPr>
      <t>www.budgetoffice.gov.ng</t>
    </r>
    <r>
      <rPr>
        <b/>
        <sz val="18"/>
        <rFont val="Times New Roman"/>
        <family val="1"/>
      </rPr>
      <t xml:space="preserve"> also contains information about the Budget.</t>
    </r>
  </si>
  <si>
    <t>Summary of Gross Revenue Allocation by Federation Account Allocation Committee for the Month of February, 2021 Shared in March, 2021</t>
  </si>
  <si>
    <t>Office  of the Accountant General of the Federation</t>
  </si>
  <si>
    <t>Cost of Collection - FIRS</t>
  </si>
  <si>
    <t>FIRS Refund</t>
  </si>
  <si>
    <t>Refund of Cost of Collection</t>
  </si>
  <si>
    <t>Police Trust Fund</t>
  </si>
  <si>
    <t>North East Development Commission</t>
  </si>
  <si>
    <t xml:space="preserve"> Cost of Collections - DPR</t>
  </si>
  <si>
    <t>Distribution of Revenue Allocation to FGN by Federation Account Allocation Committee for the Month of February, 2021 Shared in March, 2021</t>
  </si>
  <si>
    <t>Distribution of Revenue Allocation to State Governments by Federation Account Allocation Committee for the month of February, 2021 Shared in March,2021</t>
  </si>
  <si>
    <t>₦</t>
  </si>
  <si>
    <t>Suko Derivation</t>
  </si>
  <si>
    <t>Deduction</t>
  </si>
  <si>
    <t>Net VAT Allocation</t>
  </si>
  <si>
    <t>Office of the Accountant-General of the Federation</t>
  </si>
  <si>
    <t>Federal Ministry of Finance, Abuja.</t>
  </si>
  <si>
    <t xml:space="preserve"> Statutory Allocation     (Ecology)</t>
  </si>
  <si>
    <t>Total Net Amount (Ecology)</t>
  </si>
  <si>
    <t>ABIA STATE</t>
  </si>
  <si>
    <t>ADAMAWA STATE</t>
  </si>
  <si>
    <t>AKWA IBOM STATE</t>
  </si>
  <si>
    <t>ANAMBRA STATE</t>
  </si>
  <si>
    <t>BAUCHI STATE</t>
  </si>
  <si>
    <t>BAYELSA STATE</t>
  </si>
  <si>
    <t>BENUE STATE</t>
  </si>
  <si>
    <t>BORNO STATE</t>
  </si>
  <si>
    <t>CROSS RIVER STATE</t>
  </si>
  <si>
    <t>DELTA STATE</t>
  </si>
  <si>
    <t>EBONYI STATE</t>
  </si>
  <si>
    <t>EDO STATE</t>
  </si>
  <si>
    <t>EKITI STATE</t>
  </si>
  <si>
    <t>ENUGU STATE</t>
  </si>
  <si>
    <t>GOMBE STATE</t>
  </si>
  <si>
    <t>IMO STATE</t>
  </si>
  <si>
    <t>JIGAWA STATE</t>
  </si>
  <si>
    <t>KADUNA STATE</t>
  </si>
  <si>
    <t>KANO STATE</t>
  </si>
  <si>
    <t>KATSINA STATE</t>
  </si>
  <si>
    <t>KEBBI STATE</t>
  </si>
  <si>
    <t>KOGI STATE</t>
  </si>
  <si>
    <t>KWARA STATE</t>
  </si>
  <si>
    <t>LAGOS STATE</t>
  </si>
  <si>
    <t>NASSARAWA STATE</t>
  </si>
  <si>
    <t>NIGER STATE</t>
  </si>
  <si>
    <t>OGUN STATE</t>
  </si>
  <si>
    <t>ONDO STATE</t>
  </si>
  <si>
    <t>OSUN STATE</t>
  </si>
  <si>
    <t>OYO STATE</t>
  </si>
  <si>
    <t>PLATEAU STATE</t>
  </si>
  <si>
    <t>RIVERS STATE</t>
  </si>
  <si>
    <t>SOKOTO STATE</t>
  </si>
  <si>
    <t>TARABA STATE</t>
  </si>
  <si>
    <t>YOBE STATE</t>
  </si>
  <si>
    <t>ZAMFARA STATE</t>
  </si>
  <si>
    <t>Total States</t>
  </si>
  <si>
    <t>7(4+5+6)</t>
  </si>
  <si>
    <t>FOREX Equalization (Ecology)</t>
  </si>
  <si>
    <t>Details of Distribution of Ecological Funds Allocation to States by Federation Account Allocation Committee for the month of February, 2021 Shared in March, 2021</t>
  </si>
  <si>
    <t xml:space="preserve"> Excess Bank Charges (Ecology)</t>
  </si>
  <si>
    <t>Share of Ecology</t>
  </si>
  <si>
    <t xml:space="preserve"> </t>
  </si>
  <si>
    <t>13% Derivation Refund to Oil Producing States</t>
  </si>
  <si>
    <t>Refund to States on WHT and Stamp Duties on Individuals</t>
  </si>
  <si>
    <t>Statutory Allocation</t>
  </si>
  <si>
    <t>4=2-3</t>
  </si>
  <si>
    <t>8=4+5+6+7</t>
  </si>
  <si>
    <t>17=6+11+12+13+14</t>
  </si>
  <si>
    <t>18=10+11+12+13+16</t>
  </si>
  <si>
    <t>Hon. Minister of Finance, Budget &amp; National Planning</t>
  </si>
  <si>
    <t>Dr. (Mrs.) Zainab S. Ahmed</t>
  </si>
  <si>
    <t>Value Added Tax</t>
  </si>
  <si>
    <t>Summary of Distribution of Revenue Allocation to Local Government Councils by Federation Account Allocation Committee for the month of February, 2021 Shared in March, 2021</t>
  </si>
  <si>
    <t>ABIA LGCS</t>
  </si>
  <si>
    <t>ADAMAWA LGCS</t>
  </si>
  <si>
    <t>AKWA IBOM LGCS</t>
  </si>
  <si>
    <t>ANAMBRA LGCS</t>
  </si>
  <si>
    <t>BAUCHI LGCS</t>
  </si>
  <si>
    <t>BAYELSA LGCS</t>
  </si>
  <si>
    <t>BENUE LGCS</t>
  </si>
  <si>
    <t>BORNO LGCS</t>
  </si>
  <si>
    <t>CROSS RIVER LGCS</t>
  </si>
  <si>
    <t>DELTA LGCS</t>
  </si>
  <si>
    <t>EBONYI LGCS</t>
  </si>
  <si>
    <t>EDO LGCS</t>
  </si>
  <si>
    <t>EKITI LGCS</t>
  </si>
  <si>
    <t>ENUGU LGCS</t>
  </si>
  <si>
    <t>GOMBE LGCS</t>
  </si>
  <si>
    <t>IMO LGCS</t>
  </si>
  <si>
    <t>JIGAWA LGCS</t>
  </si>
  <si>
    <t>KADUNA LGCS</t>
  </si>
  <si>
    <t>KANO LGCS</t>
  </si>
  <si>
    <t>KATSINA LGCS</t>
  </si>
  <si>
    <t>KEBBI LGCS</t>
  </si>
  <si>
    <t>KOGI LGCS</t>
  </si>
  <si>
    <t>KWARA LGCS</t>
  </si>
  <si>
    <t>LAGOS LGCS</t>
  </si>
  <si>
    <t>NASSARAWA LGCS</t>
  </si>
  <si>
    <t>NIGER LGCS</t>
  </si>
  <si>
    <t>OGUN LGCS</t>
  </si>
  <si>
    <t>ONDO LGCS</t>
  </si>
  <si>
    <t>OSUN LGCS</t>
  </si>
  <si>
    <t>OYO LGCS</t>
  </si>
  <si>
    <t>PLATEAU LGCS</t>
  </si>
  <si>
    <t>RIVERS LGCS</t>
  </si>
  <si>
    <t>SOKOTO LGCS</t>
  </si>
  <si>
    <t>TARABA LGCS</t>
  </si>
  <si>
    <t>YOBE LGCS</t>
  </si>
  <si>
    <t>ZAMFARA LGCS</t>
  </si>
  <si>
    <t>FCT-ABUJA LGCS</t>
  </si>
  <si>
    <t>Total LGCs</t>
  </si>
  <si>
    <t>Total Ecology</t>
  </si>
  <si>
    <t>9(3+4+5+6+7)</t>
  </si>
  <si>
    <t xml:space="preserve"> Statutory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</si>
</sst>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8"/>
      <name val="Times New Roman"/>
      <family val="1"/>
    </font>
    <font>
      <b/>
      <sz val="18"/>
      <name val="Times New Roman"/>
      <family val="1"/>
    </font>
    <font>
      <b/>
      <u/>
      <sz val="18"/>
      <name val="Times New Roman"/>
      <family val="1"/>
    </font>
    <font>
      <sz val="18"/>
      <color indexed="8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b/>
      <i/>
      <sz val="22"/>
      <name val="Times New Roman"/>
      <family val="1"/>
    </font>
    <font>
      <b/>
      <i/>
      <sz val="2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143">
    <xf numFmtId="0" fontId="0" fillId="0" borderId="0" xfId="0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quotePrefix="1" applyFont="1" applyBorder="1" applyAlignment="1">
      <alignment horizontal="center"/>
    </xf>
    <xf numFmtId="43" fontId="0" fillId="0" borderId="2" xfId="1" applyFont="1" applyBorder="1"/>
    <xf numFmtId="43" fontId="0" fillId="0" borderId="2" xfId="0" applyNumberFormat="1" applyBorder="1"/>
    <xf numFmtId="40" fontId="0" fillId="0" borderId="2" xfId="0" applyNumberFormat="1" applyBorder="1"/>
    <xf numFmtId="43" fontId="2" fillId="0" borderId="2" xfId="0" applyNumberFormat="1" applyFont="1" applyBorder="1"/>
    <xf numFmtId="43" fontId="0" fillId="0" borderId="3" xfId="1" applyFont="1" applyBorder="1"/>
    <xf numFmtId="43" fontId="2" fillId="0" borderId="5" xfId="1" applyFont="1" applyBorder="1"/>
    <xf numFmtId="0" fontId="7" fillId="0" borderId="0" xfId="0" applyFont="1" applyAlignment="1"/>
    <xf numFmtId="0" fontId="4" fillId="0" borderId="0" xfId="0" applyFont="1" applyBorder="1" applyAlignment="1"/>
    <xf numFmtId="43" fontId="2" fillId="0" borderId="3" xfId="0" applyNumberFormat="1" applyFont="1" applyBorder="1"/>
    <xf numFmtId="0" fontId="2" fillId="0" borderId="0" xfId="0" applyFont="1"/>
    <xf numFmtId="0" fontId="0" fillId="0" borderId="0" xfId="0" applyBorder="1"/>
    <xf numFmtId="0" fontId="10" fillId="0" borderId="0" xfId="0" applyFont="1"/>
    <xf numFmtId="0" fontId="0" fillId="0" borderId="2" xfId="0" applyBorder="1" applyAlignment="1">
      <alignment horizontal="center"/>
    </xf>
    <xf numFmtId="0" fontId="0" fillId="0" borderId="0" xfId="0" applyAlignment="1"/>
    <xf numFmtId="0" fontId="11" fillId="0" borderId="0" xfId="0" applyFont="1" applyFill="1" applyBorder="1"/>
    <xf numFmtId="37" fontId="0" fillId="0" borderId="2" xfId="0" applyNumberFormat="1" applyBorder="1" applyAlignment="1">
      <alignment horizontal="center"/>
    </xf>
    <xf numFmtId="39" fontId="0" fillId="0" borderId="2" xfId="0" applyNumberFormat="1" applyBorder="1"/>
    <xf numFmtId="43" fontId="0" fillId="0" borderId="0" xfId="0" applyNumberFormat="1"/>
    <xf numFmtId="164" fontId="0" fillId="0" borderId="0" xfId="0" applyNumberFormat="1"/>
    <xf numFmtId="43" fontId="0" fillId="0" borderId="0" xfId="1" applyFont="1"/>
    <xf numFmtId="0" fontId="0" fillId="2" borderId="0" xfId="0" applyFill="1" applyProtection="1">
      <protection locked="0"/>
    </xf>
    <xf numFmtId="17" fontId="0" fillId="0" borderId="0" xfId="0" applyNumberFormat="1"/>
    <xf numFmtId="17" fontId="7" fillId="2" borderId="0" xfId="0" applyNumberFormat="1" applyFont="1" applyFill="1" applyAlignment="1"/>
    <xf numFmtId="2" fontId="0" fillId="0" borderId="0" xfId="0" applyNumberFormat="1"/>
    <xf numFmtId="0" fontId="12" fillId="0" borderId="0" xfId="0" applyFont="1" applyFill="1" applyBorder="1"/>
    <xf numFmtId="0" fontId="12" fillId="0" borderId="0" xfId="0" applyFont="1"/>
    <xf numFmtId="0" fontId="12" fillId="0" borderId="0" xfId="0" applyFont="1" applyAlignment="1"/>
    <xf numFmtId="0" fontId="14" fillId="0" borderId="0" xfId="0" applyFont="1" applyAlignment="1"/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/>
    <xf numFmtId="0" fontId="13" fillId="0" borderId="11" xfId="0" applyFont="1" applyBorder="1" applyAlignment="1"/>
    <xf numFmtId="0" fontId="12" fillId="0" borderId="0" xfId="0" applyFont="1" applyBorder="1"/>
    <xf numFmtId="0" fontId="13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13" fillId="0" borderId="6" xfId="0" quotePrefix="1" applyFont="1" applyBorder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12" fillId="0" borderId="2" xfId="0" applyFont="1" applyBorder="1"/>
    <xf numFmtId="43" fontId="13" fillId="0" borderId="0" xfId="1" applyFont="1" applyBorder="1" applyAlignment="1"/>
    <xf numFmtId="43" fontId="13" fillId="0" borderId="0" xfId="1" applyFont="1" applyBorder="1" applyAlignment="1">
      <alignment horizontal="center"/>
    </xf>
    <xf numFmtId="0" fontId="13" fillId="0" borderId="2" xfId="0" applyFont="1" applyBorder="1"/>
    <xf numFmtId="0" fontId="12" fillId="0" borderId="2" xfId="0" applyFont="1" applyBorder="1" applyAlignment="1">
      <alignment wrapText="1"/>
    </xf>
    <xf numFmtId="164" fontId="12" fillId="0" borderId="0" xfId="0" applyNumberFormat="1" applyFont="1" applyAlignment="1">
      <alignment horizontal="right"/>
    </xf>
    <xf numFmtId="43" fontId="13" fillId="0" borderId="0" xfId="1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2" xfId="0" applyFont="1" applyBorder="1" applyAlignment="1">
      <alignment horizontal="center" wrapText="1"/>
    </xf>
    <xf numFmtId="0" fontId="13" fillId="0" borderId="9" xfId="0" applyFont="1" applyFill="1" applyBorder="1" applyAlignment="1">
      <alignment horizontal="center" wrapText="1"/>
    </xf>
    <xf numFmtId="0" fontId="12" fillId="0" borderId="2" xfId="0" applyFont="1" applyBorder="1" applyAlignment="1"/>
    <xf numFmtId="43" fontId="12" fillId="0" borderId="7" xfId="1" applyFont="1" applyBorder="1"/>
    <xf numFmtId="43" fontId="12" fillId="0" borderId="2" xfId="1" applyFont="1" applyBorder="1"/>
    <xf numFmtId="43" fontId="12" fillId="0" borderId="0" xfId="0" applyNumberFormat="1" applyFont="1"/>
    <xf numFmtId="0" fontId="13" fillId="0" borderId="6" xfId="0" applyFont="1" applyBorder="1" applyAlignment="1"/>
    <xf numFmtId="43" fontId="13" fillId="0" borderId="8" xfId="1" applyFont="1" applyBorder="1"/>
    <xf numFmtId="164" fontId="12" fillId="0" borderId="0" xfId="0" applyNumberFormat="1" applyFont="1"/>
    <xf numFmtId="0" fontId="13" fillId="0" borderId="0" xfId="0" applyFont="1"/>
    <xf numFmtId="0" fontId="13" fillId="0" borderId="4" xfId="0" applyFont="1" applyBorder="1" applyAlignment="1"/>
    <xf numFmtId="0" fontId="12" fillId="0" borderId="2" xfId="0" applyFont="1" applyBorder="1" applyAlignment="1">
      <alignment horizontal="left" wrapText="1"/>
    </xf>
    <xf numFmtId="0" fontId="12" fillId="3" borderId="0" xfId="0" applyFont="1" applyFill="1"/>
    <xf numFmtId="0" fontId="13" fillId="0" borderId="0" xfId="0" applyFont="1" applyFill="1" applyBorder="1" applyAlignment="1">
      <alignment horizontal="center" wrapText="1"/>
    </xf>
    <xf numFmtId="43" fontId="12" fillId="0" borderId="0" xfId="0" applyNumberFormat="1" applyFont="1" applyBorder="1"/>
    <xf numFmtId="43" fontId="13" fillId="0" borderId="0" xfId="1" applyFont="1" applyBorder="1"/>
    <xf numFmtId="0" fontId="2" fillId="0" borderId="2" xfId="0" applyFont="1" applyBorder="1" applyAlignment="1">
      <alignment horizontal="center"/>
    </xf>
    <xf numFmtId="0" fontId="0" fillId="3" borderId="0" xfId="0" applyFill="1" applyAlignment="1">
      <alignment horizontal="right"/>
    </xf>
    <xf numFmtId="0" fontId="0" fillId="3" borderId="0" xfId="0" applyFill="1"/>
    <xf numFmtId="43" fontId="0" fillId="3" borderId="0" xfId="0" applyNumberFormat="1" applyFill="1"/>
    <xf numFmtId="164" fontId="0" fillId="3" borderId="0" xfId="0" applyNumberFormat="1" applyFill="1"/>
    <xf numFmtId="43" fontId="2" fillId="3" borderId="9" xfId="1" applyFont="1" applyFill="1" applyBorder="1"/>
    <xf numFmtId="43" fontId="0" fillId="3" borderId="0" xfId="1" applyFont="1" applyFill="1"/>
    <xf numFmtId="164" fontId="0" fillId="3" borderId="0" xfId="0" applyNumberFormat="1" applyFill="1" applyAlignment="1"/>
    <xf numFmtId="165" fontId="23" fillId="0" borderId="2" xfId="1" applyNumberFormat="1" applyFont="1" applyBorder="1" applyAlignment="1">
      <alignment horizontal="left"/>
    </xf>
    <xf numFmtId="43" fontId="23" fillId="0" borderId="2" xfId="1" applyFont="1" applyBorder="1" applyAlignment="1">
      <alignment horizontal="left" vertical="top"/>
    </xf>
    <xf numFmtId="43" fontId="23" fillId="0" borderId="2" xfId="1" applyFont="1" applyBorder="1" applyAlignment="1">
      <alignment horizontal="center"/>
    </xf>
    <xf numFmtId="43" fontId="24" fillId="0" borderId="2" xfId="1" applyFont="1" applyBorder="1"/>
    <xf numFmtId="43" fontId="24" fillId="0" borderId="2" xfId="1" applyFont="1" applyBorder="1" applyAlignment="1">
      <alignment wrapText="1"/>
    </xf>
    <xf numFmtId="0" fontId="24" fillId="0" borderId="2" xfId="0" applyFont="1" applyBorder="1" applyAlignment="1">
      <alignment horizontal="center" wrapText="1"/>
    </xf>
    <xf numFmtId="43" fontId="25" fillId="0" borderId="2" xfId="1" applyFont="1" applyBorder="1"/>
    <xf numFmtId="0" fontId="19" fillId="0" borderId="6" xfId="0" quotePrefix="1" applyFont="1" applyBorder="1" applyAlignment="1">
      <alignment horizontal="center"/>
    </xf>
    <xf numFmtId="165" fontId="25" fillId="0" borderId="2" xfId="1" applyNumberFormat="1" applyFont="1" applyBorder="1" applyAlignment="1">
      <alignment horizontal="left"/>
    </xf>
    <xf numFmtId="165" fontId="25" fillId="0" borderId="2" xfId="1" applyNumberFormat="1" applyFont="1" applyBorder="1"/>
    <xf numFmtId="43" fontId="25" fillId="0" borderId="2" xfId="1" applyFont="1" applyBorder="1" applyAlignment="1">
      <alignment wrapText="1"/>
    </xf>
    <xf numFmtId="43" fontId="23" fillId="0" borderId="2" xfId="1" applyFont="1" applyBorder="1"/>
    <xf numFmtId="43" fontId="26" fillId="0" borderId="2" xfId="1" applyFont="1" applyBorder="1"/>
    <xf numFmtId="0" fontId="19" fillId="0" borderId="4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25" fillId="0" borderId="2" xfId="1" applyNumberFormat="1" applyFont="1" applyBorder="1" applyAlignment="1">
      <alignment horizontal="left"/>
    </xf>
    <xf numFmtId="0" fontId="18" fillId="0" borderId="6" xfId="0" applyFont="1" applyBorder="1" applyAlignment="1"/>
    <xf numFmtId="0" fontId="0" fillId="0" borderId="2" xfId="0" applyBorder="1" applyAlignment="1"/>
    <xf numFmtId="0" fontId="18" fillId="0" borderId="2" xfId="0" applyFont="1" applyBorder="1" applyAlignment="1"/>
    <xf numFmtId="0" fontId="13" fillId="0" borderId="0" xfId="0" applyFont="1" applyAlignment="1"/>
    <xf numFmtId="165" fontId="23" fillId="0" borderId="2" xfId="1" applyNumberFormat="1" applyFont="1" applyBorder="1" applyAlignment="1">
      <alignment horizontal="left" vertical="top"/>
    </xf>
    <xf numFmtId="43" fontId="24" fillId="0" borderId="2" xfId="1" applyFont="1" applyBorder="1" applyAlignment="1">
      <alignment horizontal="center" wrapText="1"/>
    </xf>
    <xf numFmtId="43" fontId="24" fillId="0" borderId="2" xfId="1" applyFont="1" applyBorder="1" applyAlignment="1">
      <alignment horizontal="center"/>
    </xf>
    <xf numFmtId="43" fontId="25" fillId="0" borderId="2" xfId="0" applyNumberFormat="1" applyFont="1" applyBorder="1"/>
    <xf numFmtId="4" fontId="15" fillId="0" borderId="1" xfId="2" applyNumberFormat="1" applyFont="1" applyFill="1" applyBorder="1" applyAlignment="1">
      <alignment horizontal="right" wrapText="1"/>
    </xf>
    <xf numFmtId="4" fontId="12" fillId="0" borderId="6" xfId="1" applyNumberFormat="1" applyFont="1" applyBorder="1" applyAlignment="1"/>
    <xf numFmtId="4" fontId="12" fillId="0" borderId="2" xfId="1" applyNumberFormat="1" applyFont="1" applyBorder="1" applyAlignment="1"/>
    <xf numFmtId="4" fontId="12" fillId="3" borderId="6" xfId="1" applyNumberFormat="1" applyFont="1" applyFill="1" applyBorder="1" applyAlignment="1"/>
    <xf numFmtId="4" fontId="13" fillId="0" borderId="2" xfId="1" applyNumberFormat="1" applyFont="1" applyBorder="1" applyAlignment="1"/>
    <xf numFmtId="4" fontId="13" fillId="0" borderId="6" xfId="1" applyNumberFormat="1" applyFont="1" applyBorder="1" applyAlignment="1"/>
    <xf numFmtId="4" fontId="12" fillId="0" borderId="14" xfId="1" applyNumberFormat="1" applyFont="1" applyBorder="1" applyAlignment="1"/>
    <xf numFmtId="4" fontId="13" fillId="0" borderId="14" xfId="1" applyNumberFormat="1" applyFont="1" applyBorder="1" applyAlignment="1"/>
    <xf numFmtId="4" fontId="13" fillId="0" borderId="12" xfId="1" applyNumberFormat="1" applyFont="1" applyBorder="1" applyAlignment="1"/>
    <xf numFmtId="0" fontId="14" fillId="0" borderId="0" xfId="0" applyFont="1" applyBorder="1" applyAlignment="1">
      <alignment wrapText="1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8" fillId="0" borderId="6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19" fillId="0" borderId="4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43" fontId="21" fillId="0" borderId="6" xfId="1" applyFont="1" applyBorder="1" applyAlignment="1">
      <alignment horizontal="center"/>
    </xf>
    <xf numFmtId="43" fontId="21" fillId="0" borderId="13" xfId="1" applyFont="1" applyBorder="1" applyAlignment="1">
      <alignment horizontal="center"/>
    </xf>
    <xf numFmtId="43" fontId="21" fillId="0" borderId="3" xfId="1" applyFont="1" applyBorder="1" applyAlignment="1">
      <alignment horizontal="center"/>
    </xf>
    <xf numFmtId="0" fontId="22" fillId="0" borderId="6" xfId="0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22" fillId="0" borderId="3" xfId="0" applyFont="1" applyBorder="1" applyAlignment="1">
      <alignment horizontal="center" wrapText="1"/>
    </xf>
    <xf numFmtId="165" fontId="25" fillId="0" borderId="6" xfId="1" applyNumberFormat="1" applyFont="1" applyBorder="1" applyAlignment="1">
      <alignment horizontal="center"/>
    </xf>
    <xf numFmtId="165" fontId="25" fillId="0" borderId="13" xfId="1" applyNumberFormat="1" applyFont="1" applyBorder="1" applyAlignment="1">
      <alignment horizontal="center"/>
    </xf>
    <xf numFmtId="165" fontId="25" fillId="0" borderId="3" xfId="1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3.2" x14ac:dyDescent="0.25"/>
  <cols>
    <col min="2" max="2" width="23" bestFit="1" customWidth="1"/>
    <col min="6" max="6" width="24.5546875" customWidth="1"/>
  </cols>
  <sheetData>
    <row r="1" spans="1:8" ht="23.1" customHeight="1" x14ac:dyDescent="0.25">
      <c r="B1">
        <f ca="1">MONTH(NOW())</f>
        <v>1</v>
      </c>
      <c r="C1">
        <f ca="1">YEAR(NOW())</f>
        <v>2022</v>
      </c>
    </row>
    <row r="2" spans="1:8" ht="23.1" customHeight="1" x14ac:dyDescent="0.25"/>
    <row r="3" spans="1:8" ht="23.1" customHeight="1" x14ac:dyDescent="0.25">
      <c r="B3" t="s">
        <v>80</v>
      </c>
      <c r="F3" t="s">
        <v>81</v>
      </c>
    </row>
    <row r="4" spans="1:8" ht="23.1" customHeight="1" x14ac:dyDescent="0.25">
      <c r="B4" t="s">
        <v>77</v>
      </c>
      <c r="C4" t="s">
        <v>78</v>
      </c>
      <c r="D4" t="s">
        <v>79</v>
      </c>
      <c r="F4" t="s">
        <v>77</v>
      </c>
      <c r="G4" t="s">
        <v>78</v>
      </c>
      <c r="H4" t="s">
        <v>79</v>
      </c>
    </row>
    <row r="5" spans="1:8" ht="23.1" customHeight="1" x14ac:dyDescent="0.25">
      <c r="B5" s="25" t="e">
        <f>IF(G5=1,F5-1,F5)</f>
        <v>#REF!</v>
      </c>
      <c r="C5" s="25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4">
      <c r="B6" s="27" t="e">
        <f>LOOKUP(C5,A8:B19)</f>
        <v>#REF!</v>
      </c>
      <c r="F6" s="27" t="e">
        <f>IF(G5=1,LOOKUP(G5,E8:F19),LOOKUP(G5,A8:B19))</f>
        <v>#REF!</v>
      </c>
    </row>
    <row r="8" spans="1:8" x14ac:dyDescent="0.25">
      <c r="A8">
        <v>1</v>
      </c>
      <c r="B8" s="28" t="e">
        <f>D8&amp;"-"&amp;RIGHT(B$5,2)</f>
        <v>#REF!</v>
      </c>
      <c r="D8" s="26" t="s">
        <v>90</v>
      </c>
      <c r="E8">
        <v>1</v>
      </c>
      <c r="F8" s="28" t="e">
        <f>D8&amp;"-"&amp;RIGHT(F$5,2)</f>
        <v>#REF!</v>
      </c>
    </row>
    <row r="9" spans="1:8" x14ac:dyDescent="0.25">
      <c r="A9">
        <v>2</v>
      </c>
      <c r="B9" s="28" t="e">
        <f t="shared" ref="B9:B19" si="0">D9&amp;"-"&amp;RIGHT(B$5,2)</f>
        <v>#REF!</v>
      </c>
      <c r="D9" s="26" t="s">
        <v>91</v>
      </c>
      <c r="E9">
        <v>2</v>
      </c>
      <c r="F9" s="28" t="e">
        <f t="shared" ref="F9:F19" si="1">D9&amp;"-"&amp;RIGHT(F$5,2)</f>
        <v>#REF!</v>
      </c>
    </row>
    <row r="10" spans="1:8" x14ac:dyDescent="0.25">
      <c r="A10">
        <v>3</v>
      </c>
      <c r="B10" s="28" t="e">
        <f t="shared" si="0"/>
        <v>#REF!</v>
      </c>
      <c r="D10" s="26" t="s">
        <v>92</v>
      </c>
      <c r="E10">
        <v>3</v>
      </c>
      <c r="F10" s="28" t="e">
        <f t="shared" si="1"/>
        <v>#REF!</v>
      </c>
    </row>
    <row r="11" spans="1:8" x14ac:dyDescent="0.25">
      <c r="A11">
        <v>4</v>
      </c>
      <c r="B11" s="28" t="e">
        <f t="shared" si="0"/>
        <v>#REF!</v>
      </c>
      <c r="D11" s="26" t="s">
        <v>93</v>
      </c>
      <c r="E11">
        <v>4</v>
      </c>
      <c r="F11" s="28" t="e">
        <f t="shared" si="1"/>
        <v>#REF!</v>
      </c>
    </row>
    <row r="12" spans="1:8" x14ac:dyDescent="0.25">
      <c r="A12">
        <v>5</v>
      </c>
      <c r="B12" s="28" t="e">
        <f t="shared" si="0"/>
        <v>#REF!</v>
      </c>
      <c r="D12" s="26" t="s">
        <v>82</v>
      </c>
      <c r="E12">
        <v>5</v>
      </c>
      <c r="F12" s="28" t="e">
        <f t="shared" si="1"/>
        <v>#REF!</v>
      </c>
    </row>
    <row r="13" spans="1:8" x14ac:dyDescent="0.25">
      <c r="A13">
        <v>6</v>
      </c>
      <c r="B13" s="28" t="e">
        <f t="shared" si="0"/>
        <v>#REF!</v>
      </c>
      <c r="D13" s="26" t="s">
        <v>83</v>
      </c>
      <c r="E13">
        <v>6</v>
      </c>
      <c r="F13" s="28" t="e">
        <f t="shared" si="1"/>
        <v>#REF!</v>
      </c>
    </row>
    <row r="14" spans="1:8" x14ac:dyDescent="0.25">
      <c r="A14">
        <v>7</v>
      </c>
      <c r="B14" s="28" t="e">
        <f t="shared" si="0"/>
        <v>#REF!</v>
      </c>
      <c r="D14" s="26" t="s">
        <v>84</v>
      </c>
      <c r="E14">
        <v>7</v>
      </c>
      <c r="F14" s="28" t="e">
        <f t="shared" si="1"/>
        <v>#REF!</v>
      </c>
    </row>
    <row r="15" spans="1:8" x14ac:dyDescent="0.25">
      <c r="A15">
        <v>8</v>
      </c>
      <c r="B15" s="28" t="e">
        <f t="shared" si="0"/>
        <v>#REF!</v>
      </c>
      <c r="D15" s="26" t="s">
        <v>85</v>
      </c>
      <c r="E15">
        <v>8</v>
      </c>
      <c r="F15" s="28" t="e">
        <f t="shared" si="1"/>
        <v>#REF!</v>
      </c>
    </row>
    <row r="16" spans="1:8" x14ac:dyDescent="0.25">
      <c r="A16">
        <v>9</v>
      </c>
      <c r="B16" s="28" t="e">
        <f t="shared" si="0"/>
        <v>#REF!</v>
      </c>
      <c r="D16" s="26" t="s">
        <v>86</v>
      </c>
      <c r="E16">
        <v>9</v>
      </c>
      <c r="F16" s="28" t="e">
        <f t="shared" si="1"/>
        <v>#REF!</v>
      </c>
    </row>
    <row r="17" spans="1:6" x14ac:dyDescent="0.25">
      <c r="A17">
        <v>10</v>
      </c>
      <c r="B17" s="28" t="e">
        <f t="shared" si="0"/>
        <v>#REF!</v>
      </c>
      <c r="D17" s="26" t="s">
        <v>87</v>
      </c>
      <c r="E17">
        <v>10</v>
      </c>
      <c r="F17" s="28" t="e">
        <f t="shared" si="1"/>
        <v>#REF!</v>
      </c>
    </row>
    <row r="18" spans="1:6" x14ac:dyDescent="0.25">
      <c r="A18">
        <v>11</v>
      </c>
      <c r="B18" s="28" t="e">
        <f t="shared" si="0"/>
        <v>#REF!</v>
      </c>
      <c r="D18" s="26" t="s">
        <v>88</v>
      </c>
      <c r="E18">
        <v>11</v>
      </c>
      <c r="F18" s="28" t="e">
        <f t="shared" si="1"/>
        <v>#REF!</v>
      </c>
    </row>
    <row r="19" spans="1:6" x14ac:dyDescent="0.25">
      <c r="A19">
        <v>12</v>
      </c>
      <c r="B19" s="28" t="e">
        <f t="shared" si="0"/>
        <v>#REF!</v>
      </c>
      <c r="D19" s="26" t="s">
        <v>89</v>
      </c>
      <c r="E19">
        <v>12</v>
      </c>
      <c r="F19" s="28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45"/>
  <sheetViews>
    <sheetView tabSelected="1" topLeftCell="A4" zoomScale="50" zoomScaleNormal="50" workbookViewId="0">
      <selection activeCell="F30" sqref="F30"/>
    </sheetView>
  </sheetViews>
  <sheetFormatPr defaultRowHeight="13.2" x14ac:dyDescent="0.25"/>
  <cols>
    <col min="1" max="1" width="6.33203125" customWidth="1"/>
    <col min="2" max="2" width="40.88671875" customWidth="1"/>
    <col min="3" max="3" width="34.33203125" bestFit="1" customWidth="1"/>
    <col min="4" max="4" width="35.6640625" customWidth="1"/>
    <col min="5" max="5" width="34.33203125" customWidth="1"/>
    <col min="6" max="6" width="39.44140625" customWidth="1"/>
    <col min="7" max="7" width="40.44140625" customWidth="1"/>
    <col min="8" max="8" width="35.88671875" customWidth="1"/>
    <col min="9" max="9" width="42.6640625" customWidth="1"/>
    <col min="10" max="10" width="33.33203125" customWidth="1"/>
    <col min="11" max="11" width="23.44140625" bestFit="1" customWidth="1"/>
    <col min="13" max="14" width="9.109375" hidden="1" customWidth="1"/>
  </cols>
  <sheetData>
    <row r="1" spans="1:16" ht="22.8" x14ac:dyDescent="0.4">
      <c r="A1" s="112" t="s">
        <v>101</v>
      </c>
      <c r="B1" s="112"/>
      <c r="C1" s="112"/>
      <c r="D1" s="112"/>
      <c r="E1" s="112"/>
      <c r="F1" s="112"/>
      <c r="G1" s="112"/>
      <c r="H1" s="112"/>
      <c r="I1" s="30"/>
      <c r="J1" s="30"/>
    </row>
    <row r="2" spans="1:16" ht="22.8" x14ac:dyDescent="0.4">
      <c r="A2" s="116" t="s">
        <v>32</v>
      </c>
      <c r="B2" s="116"/>
      <c r="C2" s="116"/>
      <c r="D2" s="116"/>
      <c r="E2" s="116"/>
      <c r="F2" s="116"/>
      <c r="G2" s="116"/>
      <c r="H2" s="97"/>
      <c r="I2" s="97"/>
      <c r="J2" s="97"/>
      <c r="K2" s="11"/>
      <c r="L2" s="11"/>
      <c r="O2" s="11"/>
      <c r="P2" s="11"/>
    </row>
    <row r="3" spans="1:16" ht="26.25" customHeight="1" x14ac:dyDescent="0.4">
      <c r="A3" s="116" t="s">
        <v>21</v>
      </c>
      <c r="B3" s="116"/>
      <c r="C3" s="116"/>
      <c r="D3" s="116"/>
      <c r="E3" s="116"/>
      <c r="F3" s="116"/>
      <c r="G3" s="116"/>
      <c r="H3" s="116"/>
      <c r="I3" s="31"/>
      <c r="J3" s="31"/>
      <c r="K3" s="18"/>
      <c r="L3" s="18"/>
      <c r="M3" s="18"/>
      <c r="N3" s="18"/>
      <c r="O3" s="18"/>
    </row>
    <row r="4" spans="1:16" ht="36.75" customHeight="1" x14ac:dyDescent="0.4">
      <c r="A4" s="117" t="s">
        <v>100</v>
      </c>
      <c r="B4" s="117"/>
      <c r="C4" s="117"/>
      <c r="D4" s="117"/>
      <c r="E4" s="117"/>
      <c r="F4" s="117"/>
      <c r="G4" s="117"/>
      <c r="H4" s="111"/>
      <c r="I4" s="32"/>
      <c r="J4" s="32"/>
      <c r="K4" s="12"/>
      <c r="L4" s="12"/>
      <c r="M4" s="12"/>
      <c r="N4" s="12"/>
      <c r="O4" s="12"/>
      <c r="P4" s="12"/>
    </row>
    <row r="5" spans="1:16" ht="20.25" customHeight="1" x14ac:dyDescent="0.4">
      <c r="A5" s="30"/>
      <c r="B5" s="30"/>
      <c r="C5" s="33"/>
      <c r="D5" s="34"/>
      <c r="E5" s="34"/>
      <c r="F5" s="34"/>
      <c r="G5" s="34"/>
      <c r="H5" s="35"/>
      <c r="I5" s="36"/>
      <c r="J5" s="36"/>
    </row>
    <row r="6" spans="1:16" ht="93" customHeight="1" x14ac:dyDescent="0.4">
      <c r="A6" s="63" t="s">
        <v>0</v>
      </c>
      <c r="B6" s="63" t="s">
        <v>20</v>
      </c>
      <c r="C6" s="37" t="s">
        <v>14</v>
      </c>
      <c r="D6" s="38" t="s">
        <v>96</v>
      </c>
      <c r="E6" s="38" t="s">
        <v>97</v>
      </c>
      <c r="F6" s="39" t="s">
        <v>27</v>
      </c>
      <c r="G6" s="39" t="s">
        <v>16</v>
      </c>
      <c r="H6" s="40"/>
      <c r="I6" s="41"/>
      <c r="J6" s="30"/>
    </row>
    <row r="7" spans="1:16" ht="30" customHeight="1" x14ac:dyDescent="0.4">
      <c r="A7" s="39"/>
      <c r="B7" s="39"/>
      <c r="C7" s="42" t="s">
        <v>110</v>
      </c>
      <c r="D7" s="42" t="s">
        <v>110</v>
      </c>
      <c r="E7" s="42" t="s">
        <v>110</v>
      </c>
      <c r="F7" s="42" t="s">
        <v>110</v>
      </c>
      <c r="G7" s="42" t="s">
        <v>110</v>
      </c>
      <c r="H7" s="44"/>
      <c r="I7" s="44"/>
      <c r="J7" s="30"/>
    </row>
    <row r="8" spans="1:16" ht="30" customHeight="1" x14ac:dyDescent="0.4">
      <c r="A8" s="45">
        <v>1</v>
      </c>
      <c r="B8" s="45" t="s">
        <v>23</v>
      </c>
      <c r="C8" s="102">
        <v>178977429608.71899</v>
      </c>
      <c r="D8" s="103">
        <v>3962264714.2042999</v>
      </c>
      <c r="E8" s="104">
        <v>272573672.64770001</v>
      </c>
      <c r="F8" s="105">
        <v>21947071033.596001</v>
      </c>
      <c r="G8" s="106">
        <f t="shared" ref="G8:G20" si="0">C8+D8+E8+F8</f>
        <v>205159339029.16699</v>
      </c>
      <c r="H8" s="46"/>
      <c r="I8" s="47"/>
      <c r="J8" s="30"/>
    </row>
    <row r="9" spans="1:16" ht="22.8" x14ac:dyDescent="0.4">
      <c r="A9" s="45">
        <v>2</v>
      </c>
      <c r="B9" s="45" t="s">
        <v>29</v>
      </c>
      <c r="C9" s="103">
        <v>90779744099.183105</v>
      </c>
      <c r="D9" s="103">
        <v>2009713613.5827</v>
      </c>
      <c r="E9" s="104">
        <v>138253009.3612</v>
      </c>
      <c r="F9" s="103">
        <v>73156903445.320007</v>
      </c>
      <c r="G9" s="106">
        <f t="shared" si="0"/>
        <v>166084614167.44702</v>
      </c>
      <c r="H9" s="46"/>
      <c r="I9" s="47"/>
      <c r="J9" s="30"/>
    </row>
    <row r="10" spans="1:16" ht="22.8" x14ac:dyDescent="0.4">
      <c r="A10" s="45">
        <v>3</v>
      </c>
      <c r="B10" s="45" t="s">
        <v>30</v>
      </c>
      <c r="C10" s="103">
        <v>69987377561.496002</v>
      </c>
      <c r="D10" s="103">
        <v>1549404956.5795</v>
      </c>
      <c r="E10" s="104">
        <v>106587275.1811</v>
      </c>
      <c r="F10" s="103">
        <v>51209832411.723999</v>
      </c>
      <c r="G10" s="106">
        <f t="shared" si="0"/>
        <v>122853202204.98061</v>
      </c>
      <c r="H10" s="46"/>
      <c r="I10" s="47"/>
      <c r="J10" s="30"/>
    </row>
    <row r="11" spans="1:16" ht="22.8" x14ac:dyDescent="0.4">
      <c r="A11" s="45">
        <v>4</v>
      </c>
      <c r="B11" s="45" t="s">
        <v>17</v>
      </c>
      <c r="C11" s="103">
        <v>36019118050.6222</v>
      </c>
      <c r="D11" s="103">
        <v>1123884858.5834999</v>
      </c>
      <c r="E11" s="107">
        <v>0</v>
      </c>
      <c r="F11" s="107">
        <v>0</v>
      </c>
      <c r="G11" s="106">
        <f t="shared" si="0"/>
        <v>37143002909.205704</v>
      </c>
      <c r="H11" s="46"/>
      <c r="I11" s="47"/>
      <c r="J11" s="30"/>
    </row>
    <row r="12" spans="1:16" ht="22.8" x14ac:dyDescent="0.4">
      <c r="A12" s="45">
        <v>5</v>
      </c>
      <c r="B12" s="45" t="s">
        <v>38</v>
      </c>
      <c r="C12" s="103">
        <v>6142143402.1800003</v>
      </c>
      <c r="D12" s="107">
        <v>0</v>
      </c>
      <c r="E12" s="107">
        <v>0</v>
      </c>
      <c r="F12" s="103">
        <v>659549865.90999997</v>
      </c>
      <c r="G12" s="106">
        <f t="shared" si="0"/>
        <v>6801693268.0900002</v>
      </c>
      <c r="H12" s="46"/>
      <c r="I12" s="47"/>
      <c r="J12" s="30"/>
    </row>
    <row r="13" spans="1:16" ht="22.8" x14ac:dyDescent="0.4">
      <c r="A13" s="45">
        <v>6</v>
      </c>
      <c r="B13" s="45" t="s">
        <v>102</v>
      </c>
      <c r="C13" s="103">
        <v>2674072315.8600001</v>
      </c>
      <c r="D13" s="107">
        <v>0</v>
      </c>
      <c r="E13" s="107">
        <v>0</v>
      </c>
      <c r="F13" s="103">
        <v>5633517097.1300001</v>
      </c>
      <c r="G13" s="106">
        <f t="shared" si="0"/>
        <v>8307589412.9899998</v>
      </c>
      <c r="H13" s="46"/>
      <c r="I13" s="47"/>
      <c r="J13" s="30"/>
    </row>
    <row r="14" spans="1:16" ht="22.8" x14ac:dyDescent="0.4">
      <c r="A14" s="45">
        <v>7</v>
      </c>
      <c r="B14" s="49" t="s">
        <v>107</v>
      </c>
      <c r="C14" s="103">
        <v>6503661446.6300001</v>
      </c>
      <c r="D14" s="107">
        <v>0</v>
      </c>
      <c r="E14" s="107">
        <v>0</v>
      </c>
      <c r="F14" s="107">
        <v>0</v>
      </c>
      <c r="G14" s="106">
        <f t="shared" si="0"/>
        <v>6503661446.6300001</v>
      </c>
      <c r="H14" s="46"/>
      <c r="I14" s="47"/>
      <c r="J14" s="30"/>
    </row>
    <row r="15" spans="1:16" ht="22.8" x14ac:dyDescent="0.4">
      <c r="A15" s="45">
        <v>8</v>
      </c>
      <c r="B15" s="49" t="s">
        <v>103</v>
      </c>
      <c r="C15" s="108">
        <v>4000000000</v>
      </c>
      <c r="D15" s="109">
        <v>0</v>
      </c>
      <c r="E15" s="109">
        <v>0</v>
      </c>
      <c r="F15" s="110">
        <v>0</v>
      </c>
      <c r="G15" s="106">
        <f t="shared" si="0"/>
        <v>4000000000</v>
      </c>
      <c r="H15" s="46"/>
      <c r="I15" s="47"/>
      <c r="J15" s="30"/>
    </row>
    <row r="16" spans="1:16" ht="45.6" x14ac:dyDescent="0.4">
      <c r="A16" s="45">
        <v>9</v>
      </c>
      <c r="B16" s="49" t="s">
        <v>104</v>
      </c>
      <c r="C16" s="104">
        <v>100000000</v>
      </c>
      <c r="D16" s="109">
        <v>0</v>
      </c>
      <c r="E16" s="109">
        <v>0</v>
      </c>
      <c r="F16" s="109">
        <v>0</v>
      </c>
      <c r="G16" s="106">
        <f t="shared" si="0"/>
        <v>100000000</v>
      </c>
      <c r="H16" s="46"/>
      <c r="I16" s="47"/>
      <c r="J16" s="30"/>
    </row>
    <row r="17" spans="1:11" ht="45.6" x14ac:dyDescent="0.4">
      <c r="A17" s="45">
        <v>10</v>
      </c>
      <c r="B17" s="49" t="s">
        <v>106</v>
      </c>
      <c r="C17" s="104">
        <v>0</v>
      </c>
      <c r="D17" s="109">
        <v>0</v>
      </c>
      <c r="E17" s="109">
        <v>0</v>
      </c>
      <c r="F17" s="104">
        <v>4719800222.2799997</v>
      </c>
      <c r="G17" s="106">
        <f t="shared" si="0"/>
        <v>4719800222.2799997</v>
      </c>
      <c r="H17" s="46"/>
      <c r="I17" s="47"/>
      <c r="J17" s="30"/>
    </row>
    <row r="18" spans="1:11" ht="22.8" x14ac:dyDescent="0.4">
      <c r="A18" s="45">
        <v>11</v>
      </c>
      <c r="B18" s="49" t="s">
        <v>105</v>
      </c>
      <c r="C18" s="104">
        <v>2198083830.3699999</v>
      </c>
      <c r="D18" s="106">
        <v>0</v>
      </c>
      <c r="E18" s="106">
        <v>0</v>
      </c>
      <c r="F18" s="106">
        <v>0</v>
      </c>
      <c r="G18" s="106">
        <f t="shared" si="0"/>
        <v>2198083830.3699999</v>
      </c>
      <c r="H18" s="46"/>
      <c r="I18" s="47"/>
      <c r="J18" s="30"/>
    </row>
    <row r="19" spans="1:11" ht="45.6" x14ac:dyDescent="0.4">
      <c r="A19" s="45">
        <v>12</v>
      </c>
      <c r="B19" s="49" t="s">
        <v>161</v>
      </c>
      <c r="C19" s="104">
        <v>23920441326.360001</v>
      </c>
      <c r="D19" s="106"/>
      <c r="E19" s="106"/>
      <c r="F19" s="106"/>
      <c r="G19" s="106">
        <f t="shared" si="0"/>
        <v>23920441326.360001</v>
      </c>
      <c r="H19" s="46"/>
      <c r="I19" s="47"/>
      <c r="J19" s="30"/>
    </row>
    <row r="20" spans="1:11" ht="68.400000000000006" x14ac:dyDescent="0.4">
      <c r="A20" s="45">
        <v>13</v>
      </c>
      <c r="B20" s="49" t="s">
        <v>162</v>
      </c>
      <c r="C20" s="104">
        <v>17797280476.330002</v>
      </c>
      <c r="D20" s="106"/>
      <c r="E20" s="106"/>
      <c r="F20" s="106"/>
      <c r="G20" s="106">
        <f t="shared" si="0"/>
        <v>17797280476.330002</v>
      </c>
      <c r="H20" s="46"/>
      <c r="I20" s="47"/>
      <c r="J20" s="30"/>
    </row>
    <row r="21" spans="1:11" ht="22.8" x14ac:dyDescent="0.4">
      <c r="A21" s="45"/>
      <c r="B21" s="48" t="s">
        <v>16</v>
      </c>
      <c r="C21" s="106">
        <f>SUM(C8:C20)</f>
        <v>439099352117.75024</v>
      </c>
      <c r="D21" s="106">
        <f t="shared" ref="D21:F21" si="1">SUM(D8:D20)</f>
        <v>8645268142.9500008</v>
      </c>
      <c r="E21" s="106">
        <f t="shared" si="1"/>
        <v>517413957.19000006</v>
      </c>
      <c r="F21" s="106">
        <f t="shared" si="1"/>
        <v>157326674075.96002</v>
      </c>
      <c r="G21" s="106">
        <f>SUM(G8:G20)</f>
        <v>605588708293.85022</v>
      </c>
      <c r="H21" s="46"/>
      <c r="I21" s="46"/>
      <c r="J21" s="30"/>
    </row>
    <row r="22" spans="1:11" ht="22.8" x14ac:dyDescent="0.4">
      <c r="A22" s="30"/>
      <c r="B22" s="50" t="s">
        <v>37</v>
      </c>
      <c r="C22" s="51"/>
      <c r="D22" s="51"/>
      <c r="E22" s="51"/>
      <c r="F22" s="51"/>
      <c r="G22" s="51"/>
      <c r="H22" s="51"/>
      <c r="I22" s="47"/>
      <c r="J22" s="47"/>
    </row>
    <row r="23" spans="1:11" ht="22.8" x14ac:dyDescent="0.4">
      <c r="A23" s="30"/>
      <c r="B23" s="30"/>
      <c r="C23" s="51"/>
      <c r="D23" s="52"/>
      <c r="E23" s="52"/>
      <c r="F23" s="52" t="s">
        <v>22</v>
      </c>
      <c r="G23" s="52"/>
      <c r="H23" s="51"/>
      <c r="I23" s="51"/>
      <c r="J23" s="51"/>
    </row>
    <row r="24" spans="1:11" ht="22.8" x14ac:dyDescent="0.4">
      <c r="A24" s="118" t="s">
        <v>108</v>
      </c>
      <c r="B24" s="118"/>
      <c r="C24" s="118"/>
      <c r="D24" s="118"/>
      <c r="E24" s="118"/>
      <c r="F24" s="118"/>
      <c r="G24" s="118"/>
      <c r="H24" s="118"/>
      <c r="I24" s="118"/>
      <c r="J24" s="32"/>
    </row>
    <row r="25" spans="1:11" ht="16.5" customHeight="1" x14ac:dyDescent="0.4">
      <c r="A25" s="30"/>
      <c r="B25" s="30"/>
      <c r="C25" s="30"/>
      <c r="D25" s="30"/>
      <c r="E25" s="30"/>
      <c r="F25" s="30"/>
      <c r="G25" s="30"/>
      <c r="H25" s="30"/>
      <c r="I25" s="30"/>
      <c r="J25" s="30"/>
    </row>
    <row r="26" spans="1:11" ht="30" customHeight="1" x14ac:dyDescent="0.4">
      <c r="A26" s="39">
        <v>0</v>
      </c>
      <c r="B26" s="39">
        <v>1</v>
      </c>
      <c r="C26" s="39">
        <v>2</v>
      </c>
      <c r="D26" s="39">
        <v>3</v>
      </c>
      <c r="E26" s="39" t="s">
        <v>164</v>
      </c>
      <c r="F26" s="37">
        <v>5</v>
      </c>
      <c r="G26" s="39">
        <v>6</v>
      </c>
      <c r="H26" s="39">
        <v>7</v>
      </c>
      <c r="I26" s="39" t="s">
        <v>165</v>
      </c>
      <c r="J26" s="30"/>
    </row>
    <row r="27" spans="1:11" ht="93" customHeight="1" x14ac:dyDescent="0.4">
      <c r="A27" s="53" t="s">
        <v>0</v>
      </c>
      <c r="B27" s="53" t="s">
        <v>20</v>
      </c>
      <c r="C27" s="54" t="s">
        <v>7</v>
      </c>
      <c r="D27" s="53" t="s">
        <v>94</v>
      </c>
      <c r="E27" s="53" t="s">
        <v>12</v>
      </c>
      <c r="F27" s="38" t="s">
        <v>96</v>
      </c>
      <c r="G27" s="38" t="s">
        <v>97</v>
      </c>
      <c r="H27" s="53" t="s">
        <v>27</v>
      </c>
      <c r="I27" s="53" t="s">
        <v>13</v>
      </c>
      <c r="J27" s="66"/>
    </row>
    <row r="28" spans="1:11" ht="30" customHeight="1" x14ac:dyDescent="0.4">
      <c r="A28" s="45"/>
      <c r="B28" s="45"/>
      <c r="C28" s="43" t="s">
        <v>110</v>
      </c>
      <c r="D28" s="43" t="s">
        <v>110</v>
      </c>
      <c r="E28" s="43" t="s">
        <v>110</v>
      </c>
      <c r="F28" s="43" t="s">
        <v>110</v>
      </c>
      <c r="G28" s="43" t="s">
        <v>110</v>
      </c>
      <c r="H28" s="43" t="s">
        <v>110</v>
      </c>
      <c r="I28" s="43" t="s">
        <v>110</v>
      </c>
      <c r="J28" s="44"/>
    </row>
    <row r="29" spans="1:11" ht="30" customHeight="1" x14ac:dyDescent="0.4">
      <c r="A29" s="45">
        <v>1</v>
      </c>
      <c r="B29" s="55" t="s">
        <v>18</v>
      </c>
      <c r="C29" s="56">
        <v>164776107365.65799</v>
      </c>
      <c r="D29" s="56">
        <v>88438755877.949997</v>
      </c>
      <c r="E29" s="56">
        <f>C29-D29</f>
        <v>76337351487.707993</v>
      </c>
      <c r="F29" s="56">
        <v>3647870892.9177999</v>
      </c>
      <c r="G29" s="56">
        <v>250945769.23710001</v>
      </c>
      <c r="H29" s="56">
        <v>20483932964.689999</v>
      </c>
      <c r="I29" s="57">
        <f>E29+F29+G29+H29</f>
        <v>100720101114.5529</v>
      </c>
      <c r="J29" s="67"/>
    </row>
    <row r="30" spans="1:11" ht="52.5" customHeight="1" x14ac:dyDescent="0.4">
      <c r="A30" s="45">
        <v>2</v>
      </c>
      <c r="B30" s="64" t="s">
        <v>19</v>
      </c>
      <c r="C30" s="56">
        <v>3397445512.6939998</v>
      </c>
      <c r="D30" s="56">
        <v>0</v>
      </c>
      <c r="E30" s="56">
        <f t="shared" ref="E30:E33" si="2">C30-D30</f>
        <v>3397445512.6939998</v>
      </c>
      <c r="F30" s="56">
        <v>75213832.843700007</v>
      </c>
      <c r="G30" s="56">
        <v>5174139.5718999999</v>
      </c>
      <c r="H30" s="56">
        <v>0</v>
      </c>
      <c r="I30" s="57">
        <f t="shared" ref="I30:I33" si="3">E30+F30+G30+H30</f>
        <v>3477833485.1095996</v>
      </c>
      <c r="J30" s="67"/>
    </row>
    <row r="31" spans="1:11" ht="22.8" x14ac:dyDescent="0.4">
      <c r="A31" s="45">
        <v>3</v>
      </c>
      <c r="B31" s="55" t="s">
        <v>4</v>
      </c>
      <c r="C31" s="56">
        <v>1698722756.3469999</v>
      </c>
      <c r="D31" s="56">
        <v>0</v>
      </c>
      <c r="E31" s="56">
        <f t="shared" si="2"/>
        <v>1698722756.3469999</v>
      </c>
      <c r="F31" s="56">
        <v>37606916.420000002</v>
      </c>
      <c r="G31" s="56">
        <v>2587069.7859</v>
      </c>
      <c r="H31" s="56">
        <v>0</v>
      </c>
      <c r="I31" s="57">
        <f t="shared" si="3"/>
        <v>1738916742.5529001</v>
      </c>
      <c r="J31" s="67"/>
    </row>
    <row r="32" spans="1:11" ht="45.6" x14ac:dyDescent="0.4">
      <c r="A32" s="45">
        <v>4</v>
      </c>
      <c r="B32" s="49" t="s">
        <v>5</v>
      </c>
      <c r="C32" s="56">
        <v>5707708461.3259001</v>
      </c>
      <c r="D32" s="56">
        <v>0</v>
      </c>
      <c r="E32" s="56">
        <f t="shared" si="2"/>
        <v>5707708461.3259001</v>
      </c>
      <c r="F32" s="56">
        <v>126359239.17739999</v>
      </c>
      <c r="G32" s="56">
        <v>8692554.4807999991</v>
      </c>
      <c r="H32" s="56">
        <v>0</v>
      </c>
      <c r="I32" s="57">
        <f t="shared" si="3"/>
        <v>5842760254.9840994</v>
      </c>
      <c r="J32" s="67"/>
      <c r="K32" s="23"/>
    </row>
    <row r="33" spans="1:10" ht="23.4" thickBot="1" x14ac:dyDescent="0.45">
      <c r="A33" s="45">
        <v>5</v>
      </c>
      <c r="B33" s="45" t="s">
        <v>6</v>
      </c>
      <c r="C33" s="56">
        <v>3397445512.6939998</v>
      </c>
      <c r="D33" s="56">
        <v>49928018.600000001</v>
      </c>
      <c r="E33" s="56">
        <f t="shared" si="2"/>
        <v>3347517494.0939999</v>
      </c>
      <c r="F33" s="56">
        <v>75213832.843700007</v>
      </c>
      <c r="G33" s="56">
        <v>5174139.5718999999</v>
      </c>
      <c r="H33" s="56">
        <v>1463138068.9100001</v>
      </c>
      <c r="I33" s="57">
        <f t="shared" si="3"/>
        <v>4891043535.4195995</v>
      </c>
      <c r="J33" s="67"/>
    </row>
    <row r="34" spans="1:10" ht="24" thickTop="1" thickBot="1" x14ac:dyDescent="0.45">
      <c r="A34" s="45"/>
      <c r="B34" s="59" t="s">
        <v>10</v>
      </c>
      <c r="C34" s="60">
        <f>SUM(C29:C33)</f>
        <v>178977429608.71887</v>
      </c>
      <c r="D34" s="60">
        <f>SUM(D29:D33)</f>
        <v>88488683896.550003</v>
      </c>
      <c r="E34" s="60">
        <f t="shared" ref="E34" si="4">SUM(E29:E33)</f>
        <v>90488745712.168884</v>
      </c>
      <c r="F34" s="60">
        <f t="shared" ref="F34" si="5">SUM(F29:F33)</f>
        <v>3962264714.2026</v>
      </c>
      <c r="G34" s="60">
        <f t="shared" ref="G34:H34" si="6">SUM(G29:G33)</f>
        <v>272573672.6476</v>
      </c>
      <c r="H34" s="60">
        <f t="shared" si="6"/>
        <v>21947071033.599998</v>
      </c>
      <c r="I34" s="60">
        <f>SUM(I29:I33)</f>
        <v>116670655132.61911</v>
      </c>
      <c r="J34" s="68"/>
    </row>
    <row r="35" spans="1:10" ht="23.4" thickTop="1" x14ac:dyDescent="0.4">
      <c r="A35" s="30"/>
      <c r="B35" s="30"/>
      <c r="C35" s="30"/>
      <c r="D35" s="58"/>
      <c r="E35" s="58"/>
      <c r="F35" s="65"/>
      <c r="G35" s="65"/>
      <c r="H35" s="65"/>
      <c r="I35" s="61"/>
      <c r="J35" s="58"/>
    </row>
    <row r="36" spans="1:10" ht="22.8" x14ac:dyDescent="0.4">
      <c r="A36" s="29" t="s">
        <v>98</v>
      </c>
      <c r="B36" s="30"/>
      <c r="C36" s="30"/>
      <c r="D36" s="30"/>
      <c r="E36" s="58"/>
      <c r="F36" s="58"/>
      <c r="G36" s="30"/>
      <c r="H36" s="30"/>
      <c r="I36" s="61"/>
      <c r="J36" s="58"/>
    </row>
    <row r="37" spans="1:10" ht="96" customHeight="1" x14ac:dyDescent="0.4">
      <c r="A37" s="114" t="s">
        <v>99</v>
      </c>
      <c r="B37" s="114"/>
      <c r="C37" s="114"/>
      <c r="D37" s="114"/>
      <c r="E37" s="114"/>
      <c r="F37" s="114"/>
      <c r="G37" s="114"/>
      <c r="H37" s="114"/>
      <c r="I37" s="114"/>
      <c r="J37" s="114"/>
    </row>
    <row r="38" spans="1:10" ht="22.8" x14ac:dyDescent="0.4">
      <c r="A38" s="30"/>
      <c r="B38" s="62"/>
      <c r="C38" s="62"/>
      <c r="D38" s="62"/>
      <c r="E38" s="62"/>
      <c r="F38" s="62"/>
      <c r="G38" s="62"/>
      <c r="H38" s="30"/>
      <c r="I38" s="30"/>
      <c r="J38" s="30"/>
    </row>
    <row r="39" spans="1:10" ht="22.8" hidden="1" x14ac:dyDescent="0.4">
      <c r="A39" s="30"/>
      <c r="B39" s="62"/>
      <c r="C39" s="62"/>
      <c r="D39" s="62"/>
      <c r="E39" s="62"/>
      <c r="F39" s="62"/>
      <c r="G39" s="62"/>
      <c r="H39" s="30"/>
      <c r="I39" s="30"/>
      <c r="J39" s="30"/>
    </row>
    <row r="40" spans="1:10" ht="22.8" x14ac:dyDescent="0.4">
      <c r="A40" s="30"/>
      <c r="B40" s="62"/>
      <c r="C40" s="62"/>
      <c r="D40" s="62"/>
      <c r="E40" s="62"/>
      <c r="F40" s="62"/>
      <c r="G40" s="62"/>
      <c r="H40" s="30"/>
      <c r="I40" s="30"/>
      <c r="J40" s="30"/>
    </row>
    <row r="41" spans="1:10" ht="42.75" customHeight="1" x14ac:dyDescent="0.4">
      <c r="A41" s="30"/>
      <c r="B41" s="30"/>
      <c r="C41" s="112" t="s">
        <v>31</v>
      </c>
      <c r="D41" s="112"/>
      <c r="E41" s="112"/>
      <c r="F41" s="112"/>
      <c r="G41" s="112"/>
      <c r="H41" s="112"/>
      <c r="I41" s="30"/>
      <c r="J41" s="30"/>
    </row>
    <row r="42" spans="1:10" ht="20.399999999999999" x14ac:dyDescent="0.35">
      <c r="C42" s="115" t="s">
        <v>169</v>
      </c>
      <c r="D42" s="115"/>
      <c r="E42" s="115"/>
      <c r="F42" s="115"/>
      <c r="G42" s="115"/>
      <c r="H42" s="115"/>
    </row>
    <row r="43" spans="1:10" ht="21" x14ac:dyDescent="0.4">
      <c r="C43" s="113" t="s">
        <v>168</v>
      </c>
      <c r="D43" s="113"/>
      <c r="E43" s="113"/>
      <c r="F43" s="113"/>
      <c r="G43" s="113"/>
      <c r="H43" s="113"/>
    </row>
    <row r="44" spans="1:10" ht="21" x14ac:dyDescent="0.4">
      <c r="C44" s="113" t="s">
        <v>34</v>
      </c>
      <c r="D44" s="113"/>
      <c r="E44" s="113"/>
      <c r="F44" s="113"/>
      <c r="G44" s="113"/>
      <c r="H44" s="113"/>
    </row>
    <row r="45" spans="1:10" ht="35.25" customHeight="1" x14ac:dyDescent="0.25"/>
  </sheetData>
  <mergeCells count="10">
    <mergeCell ref="A1:H1"/>
    <mergeCell ref="C44:H44"/>
    <mergeCell ref="A37:J37"/>
    <mergeCell ref="C41:H41"/>
    <mergeCell ref="C42:H42"/>
    <mergeCell ref="C43:H43"/>
    <mergeCell ref="A3:H3"/>
    <mergeCell ref="A2:G2"/>
    <mergeCell ref="A4:G4"/>
    <mergeCell ref="A24:I24"/>
  </mergeCells>
  <phoneticPr fontId="3" type="noConversion"/>
  <pageMargins left="0.74803149606299213" right="0.74803149606299213" top="0.39370078740157483" bottom="0.41" header="0.51181102362204722" footer="0.51181102362204722"/>
  <pageSetup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S56"/>
  <sheetViews>
    <sheetView zoomScale="70" zoomScaleNormal="70" workbookViewId="0">
      <pane xSplit="3" ySplit="9" topLeftCell="D39" activePane="bottomRight" state="frozen"/>
      <selection pane="topRight" activeCell="D1" sqref="D1"/>
      <selection pane="bottomLeft" activeCell="A10" sqref="A10"/>
      <selection pane="bottomRight" activeCell="A4" sqref="A4:R48"/>
    </sheetView>
  </sheetViews>
  <sheetFormatPr defaultRowHeight="13.2" x14ac:dyDescent="0.25"/>
  <cols>
    <col min="1" max="1" width="4" bestFit="1" customWidth="1"/>
    <col min="2" max="2" width="22.44140625" customWidth="1"/>
    <col min="3" max="3" width="7.44140625" customWidth="1"/>
    <col min="4" max="4" width="20.6640625" customWidth="1"/>
    <col min="5" max="5" width="19" customWidth="1"/>
    <col min="6" max="6" width="19.44140625" customWidth="1"/>
    <col min="7" max="7" width="17.88671875" bestFit="1" customWidth="1"/>
    <col min="8" max="8" width="18.5546875" customWidth="1"/>
    <col min="9" max="9" width="19.44140625" customWidth="1"/>
    <col min="10" max="10" width="19.5546875" customWidth="1"/>
    <col min="11" max="12" width="21" customWidth="1"/>
    <col min="13" max="16" width="22" customWidth="1"/>
    <col min="17" max="17" width="24.109375" bestFit="1" customWidth="1"/>
    <col min="18" max="18" width="20.109375" bestFit="1" customWidth="1"/>
    <col min="19" max="19" width="4.33203125" bestFit="1" customWidth="1"/>
  </cols>
  <sheetData>
    <row r="1" spans="1:19" ht="22.8" x14ac:dyDescent="0.4">
      <c r="A1" s="112" t="s">
        <v>101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19" ht="24.6" x14ac:dyDescent="0.4">
      <c r="A2" s="126" t="s">
        <v>32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19" ht="18" customHeight="1" x14ac:dyDescent="0.3">
      <c r="H3" s="16" t="s">
        <v>24</v>
      </c>
    </row>
    <row r="4" spans="1:19" ht="17.399999999999999" x14ac:dyDescent="0.3">
      <c r="A4" s="129" t="s">
        <v>109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</row>
    <row r="5" spans="1:19" ht="21" x14ac:dyDescent="0.4">
      <c r="A5" s="15"/>
      <c r="B5" s="15"/>
      <c r="C5" s="15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5"/>
    </row>
    <row r="6" spans="1:19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8</v>
      </c>
      <c r="G6" s="2">
        <v>7</v>
      </c>
      <c r="H6" s="2">
        <v>8</v>
      </c>
      <c r="I6" s="2">
        <v>9</v>
      </c>
      <c r="J6" s="2" t="s">
        <v>9</v>
      </c>
      <c r="K6" s="2">
        <v>11</v>
      </c>
      <c r="L6" s="2">
        <v>12</v>
      </c>
      <c r="M6" s="91">
        <v>13</v>
      </c>
      <c r="N6" s="69">
        <v>14</v>
      </c>
      <c r="O6" s="92">
        <v>15</v>
      </c>
      <c r="P6" s="92">
        <v>16</v>
      </c>
      <c r="Q6" s="2" t="s">
        <v>166</v>
      </c>
      <c r="R6" s="2" t="s">
        <v>167</v>
      </c>
      <c r="S6" s="1"/>
    </row>
    <row r="7" spans="1:19" ht="12.75" customHeight="1" x14ac:dyDescent="0.25">
      <c r="A7" s="124" t="s">
        <v>0</v>
      </c>
      <c r="B7" s="124" t="s">
        <v>20</v>
      </c>
      <c r="C7" s="124" t="s">
        <v>1</v>
      </c>
      <c r="D7" s="124" t="s">
        <v>163</v>
      </c>
      <c r="E7" s="124" t="s">
        <v>35</v>
      </c>
      <c r="F7" s="124" t="s">
        <v>2</v>
      </c>
      <c r="G7" s="121" t="s">
        <v>26</v>
      </c>
      <c r="H7" s="122"/>
      <c r="I7" s="123"/>
      <c r="J7" s="124" t="s">
        <v>12</v>
      </c>
      <c r="K7" s="127" t="s">
        <v>96</v>
      </c>
      <c r="L7" s="127" t="s">
        <v>97</v>
      </c>
      <c r="M7" s="124" t="s">
        <v>159</v>
      </c>
      <c r="N7" s="124" t="s">
        <v>75</v>
      </c>
      <c r="O7" s="124" t="s">
        <v>112</v>
      </c>
      <c r="P7" s="124" t="s">
        <v>113</v>
      </c>
      <c r="Q7" s="124" t="s">
        <v>28</v>
      </c>
      <c r="R7" s="124" t="s">
        <v>13</v>
      </c>
      <c r="S7" s="130" t="s">
        <v>0</v>
      </c>
    </row>
    <row r="8" spans="1:19" ht="50.25" customHeight="1" x14ac:dyDescent="0.25">
      <c r="A8" s="125"/>
      <c r="B8" s="125"/>
      <c r="C8" s="125"/>
      <c r="D8" s="125"/>
      <c r="E8" s="125"/>
      <c r="F8" s="125"/>
      <c r="G8" s="3" t="s">
        <v>3</v>
      </c>
      <c r="H8" s="3" t="s">
        <v>11</v>
      </c>
      <c r="I8" s="3" t="s">
        <v>95</v>
      </c>
      <c r="J8" s="125"/>
      <c r="K8" s="128"/>
      <c r="L8" s="128"/>
      <c r="M8" s="125"/>
      <c r="N8" s="125"/>
      <c r="O8" s="125"/>
      <c r="P8" s="125"/>
      <c r="Q8" s="125"/>
      <c r="R8" s="125"/>
      <c r="S8" s="131"/>
    </row>
    <row r="9" spans="1:19" ht="30" customHeight="1" x14ac:dyDescent="0.25">
      <c r="A9" s="1"/>
      <c r="B9" s="1"/>
      <c r="C9" s="1"/>
      <c r="D9" s="4" t="s">
        <v>110</v>
      </c>
      <c r="E9" s="4" t="s">
        <v>110</v>
      </c>
      <c r="F9" s="4" t="s">
        <v>110</v>
      </c>
      <c r="G9" s="4" t="s">
        <v>110</v>
      </c>
      <c r="H9" s="4" t="s">
        <v>110</v>
      </c>
      <c r="I9" s="4" t="s">
        <v>110</v>
      </c>
      <c r="J9" s="4" t="s">
        <v>110</v>
      </c>
      <c r="K9" s="4" t="s">
        <v>110</v>
      </c>
      <c r="L9" s="4" t="s">
        <v>110</v>
      </c>
      <c r="M9" s="4" t="s">
        <v>110</v>
      </c>
      <c r="N9" s="4" t="s">
        <v>110</v>
      </c>
      <c r="O9" s="4" t="s">
        <v>110</v>
      </c>
      <c r="P9" s="4" t="s">
        <v>110</v>
      </c>
      <c r="Q9" s="4" t="s">
        <v>110</v>
      </c>
      <c r="R9" s="4" t="s">
        <v>110</v>
      </c>
      <c r="S9" s="1"/>
    </row>
    <row r="10" spans="1:19" ht="30" customHeight="1" x14ac:dyDescent="0.25">
      <c r="A10" s="1">
        <v>1</v>
      </c>
      <c r="B10" s="21" t="s">
        <v>39</v>
      </c>
      <c r="C10" s="20">
        <v>17</v>
      </c>
      <c r="D10" s="5">
        <v>2181250787.5821857</v>
      </c>
      <c r="E10" s="5">
        <v>535690791.80739999</v>
      </c>
      <c r="F10" s="6">
        <f>D10+E10</f>
        <v>2716941579.3895855</v>
      </c>
      <c r="G10" s="7">
        <v>67572423.200000003</v>
      </c>
      <c r="H10" s="7">
        <v>0</v>
      </c>
      <c r="I10" s="5">
        <v>391057008.87</v>
      </c>
      <c r="J10" s="8">
        <f>F10-G10-H10-I10</f>
        <v>2258312147.3195858</v>
      </c>
      <c r="K10" s="6">
        <v>65885627.2064</v>
      </c>
      <c r="L10" s="6">
        <v>3321935.8404000001</v>
      </c>
      <c r="M10" s="13">
        <v>61833101.913814373</v>
      </c>
      <c r="N10" s="13">
        <v>1522175236.5157001</v>
      </c>
      <c r="O10" s="13">
        <v>0</v>
      </c>
      <c r="P10" s="13">
        <f>N10-O10</f>
        <v>1522175236.5157001</v>
      </c>
      <c r="Q10" s="13">
        <f>F10+K10+L10+M10+N10</f>
        <v>4370157480.8659</v>
      </c>
      <c r="R10" s="9">
        <f>J10+K10+L10+M10+P10</f>
        <v>3911528048.7959003</v>
      </c>
      <c r="S10" s="1">
        <v>1</v>
      </c>
    </row>
    <row r="11" spans="1:19" ht="30" customHeight="1" x14ac:dyDescent="0.25">
      <c r="A11" s="1">
        <v>2</v>
      </c>
      <c r="B11" s="21" t="s">
        <v>40</v>
      </c>
      <c r="C11" s="17">
        <v>21</v>
      </c>
      <c r="D11" s="5">
        <v>2320475736.1769538</v>
      </c>
      <c r="E11" s="5">
        <v>0</v>
      </c>
      <c r="F11" s="6">
        <f t="shared" ref="F11:F46" si="0">D11+E11</f>
        <v>2320475736.1769538</v>
      </c>
      <c r="G11" s="7">
        <v>82177449.780000001</v>
      </c>
      <c r="H11" s="7">
        <v>0</v>
      </c>
      <c r="I11" s="5">
        <v>165980586.19</v>
      </c>
      <c r="J11" s="8">
        <f t="shared" ref="J11:J47" si="1">F11-G11-H11-I11</f>
        <v>2072317700.2069535</v>
      </c>
      <c r="K11" s="6">
        <v>51371500.5845</v>
      </c>
      <c r="L11" s="6">
        <v>3533968.4757999997</v>
      </c>
      <c r="M11" s="13">
        <v>65779787.218746409</v>
      </c>
      <c r="N11" s="13">
        <v>1530373923.2490001</v>
      </c>
      <c r="O11" s="13">
        <v>0</v>
      </c>
      <c r="P11" s="13">
        <f t="shared" ref="P11:P47" si="2">N11-O11</f>
        <v>1530373923.2490001</v>
      </c>
      <c r="Q11" s="13">
        <f t="shared" ref="Q11:Q47" si="3">F11+K11+L11+M11+N11</f>
        <v>3971534915.7049999</v>
      </c>
      <c r="R11" s="9">
        <f t="shared" ref="R11:R46" si="4">J11+K11+L11+M11+P11</f>
        <v>3723376879.7350001</v>
      </c>
      <c r="S11" s="1">
        <v>2</v>
      </c>
    </row>
    <row r="12" spans="1:19" ht="30" customHeight="1" x14ac:dyDescent="0.25">
      <c r="A12" s="1">
        <v>3</v>
      </c>
      <c r="B12" s="21" t="s">
        <v>41</v>
      </c>
      <c r="C12" s="17">
        <v>31</v>
      </c>
      <c r="D12" s="5">
        <v>2342039734.8293939</v>
      </c>
      <c r="E12" s="5">
        <v>6049720885.4534998</v>
      </c>
      <c r="F12" s="6">
        <f t="shared" si="0"/>
        <v>8391760620.2828941</v>
      </c>
      <c r="G12" s="7">
        <v>44801992.189999998</v>
      </c>
      <c r="H12" s="7">
        <v>0</v>
      </c>
      <c r="I12" s="5">
        <v>888918657.02999997</v>
      </c>
      <c r="J12" s="8">
        <f t="shared" si="1"/>
        <v>7458039971.0628948</v>
      </c>
      <c r="K12" s="6">
        <v>247442205.1108</v>
      </c>
      <c r="L12" s="6">
        <v>3566809.3671999997</v>
      </c>
      <c r="M12" s="13">
        <v>66391073.614506282</v>
      </c>
      <c r="N12" s="13">
        <v>1680669233.1363001</v>
      </c>
      <c r="O12" s="13">
        <v>0</v>
      </c>
      <c r="P12" s="13">
        <f t="shared" si="2"/>
        <v>1680669233.1363001</v>
      </c>
      <c r="Q12" s="13">
        <f t="shared" si="3"/>
        <v>10389829941.5117</v>
      </c>
      <c r="R12" s="9">
        <f t="shared" si="4"/>
        <v>9456109292.2917023</v>
      </c>
      <c r="S12" s="1">
        <v>3</v>
      </c>
    </row>
    <row r="13" spans="1:19" ht="30" customHeight="1" x14ac:dyDescent="0.25">
      <c r="A13" s="1">
        <v>4</v>
      </c>
      <c r="B13" s="21" t="s">
        <v>42</v>
      </c>
      <c r="C13" s="17">
        <v>21</v>
      </c>
      <c r="D13" s="5">
        <v>2316128598.0723276</v>
      </c>
      <c r="E13" s="5">
        <v>0</v>
      </c>
      <c r="F13" s="6">
        <f t="shared" si="0"/>
        <v>2316128598.0723276</v>
      </c>
      <c r="G13" s="7">
        <v>49206305.829999998</v>
      </c>
      <c r="H13" s="7">
        <v>0</v>
      </c>
      <c r="I13" s="5">
        <v>107844895.25</v>
      </c>
      <c r="J13" s="8">
        <f>F13-G13-H13-I13</f>
        <v>2159077396.9923277</v>
      </c>
      <c r="K13" s="6">
        <v>51275262.121099994</v>
      </c>
      <c r="L13" s="6">
        <v>3527347.9956999999</v>
      </c>
      <c r="M13" s="13">
        <v>65656556.542772152</v>
      </c>
      <c r="N13" s="13">
        <v>1790344932.9059999</v>
      </c>
      <c r="O13" s="13">
        <v>0</v>
      </c>
      <c r="P13" s="13">
        <f t="shared" si="2"/>
        <v>1790344932.9059999</v>
      </c>
      <c r="Q13" s="13">
        <f t="shared" si="3"/>
        <v>4226932697.6378994</v>
      </c>
      <c r="R13" s="9">
        <f t="shared" si="4"/>
        <v>4069881496.5578995</v>
      </c>
      <c r="S13" s="1">
        <v>4</v>
      </c>
    </row>
    <row r="14" spans="1:19" ht="30" customHeight="1" x14ac:dyDescent="0.25">
      <c r="A14" s="1">
        <v>5</v>
      </c>
      <c r="B14" s="21" t="s">
        <v>43</v>
      </c>
      <c r="C14" s="17">
        <v>20</v>
      </c>
      <c r="D14" s="5">
        <v>2786380302.8918338</v>
      </c>
      <c r="E14" s="5">
        <v>0</v>
      </c>
      <c r="F14" s="6">
        <f t="shared" si="0"/>
        <v>2786380302.8918338</v>
      </c>
      <c r="G14" s="7">
        <v>136554732.87</v>
      </c>
      <c r="H14" s="7">
        <v>201255000</v>
      </c>
      <c r="I14" s="5">
        <v>577329582.38</v>
      </c>
      <c r="J14" s="8">
        <f>F14-G14-H14-I14</f>
        <v>1871240987.6418338</v>
      </c>
      <c r="K14" s="6">
        <v>61685858.256699994</v>
      </c>
      <c r="L14" s="6">
        <v>4243517.8248000005</v>
      </c>
      <c r="M14" s="13">
        <v>78987037.265466169</v>
      </c>
      <c r="N14" s="13">
        <v>1781522466.5402999</v>
      </c>
      <c r="O14" s="13">
        <v>0</v>
      </c>
      <c r="P14" s="13">
        <f t="shared" si="2"/>
        <v>1781522466.5402999</v>
      </c>
      <c r="Q14" s="13">
        <f t="shared" si="3"/>
        <v>4712819182.7791004</v>
      </c>
      <c r="R14" s="9">
        <f t="shared" si="4"/>
        <v>3797679867.5290999</v>
      </c>
      <c r="S14" s="1">
        <v>5</v>
      </c>
    </row>
    <row r="15" spans="1:19" ht="30" customHeight="1" x14ac:dyDescent="0.25">
      <c r="A15" s="1">
        <v>6</v>
      </c>
      <c r="B15" s="21" t="s">
        <v>44</v>
      </c>
      <c r="C15" s="17">
        <v>8</v>
      </c>
      <c r="D15" s="5">
        <v>2061129445.0092292</v>
      </c>
      <c r="E15" s="5">
        <v>5922151757.2035999</v>
      </c>
      <c r="F15" s="6">
        <f t="shared" si="0"/>
        <v>7983281202.2128296</v>
      </c>
      <c r="G15" s="7">
        <v>35910172.130000003</v>
      </c>
      <c r="H15" s="7">
        <v>0</v>
      </c>
      <c r="I15" s="5">
        <v>1905567297.49</v>
      </c>
      <c r="J15" s="8">
        <f t="shared" si="1"/>
        <v>6041803732.5928297</v>
      </c>
      <c r="K15" s="6">
        <v>221432481.7013</v>
      </c>
      <c r="L15" s="6">
        <v>3138997.0468000001</v>
      </c>
      <c r="M15" s="13">
        <v>58427956.914870955</v>
      </c>
      <c r="N15" s="13">
        <v>1517535963.9686999</v>
      </c>
      <c r="O15" s="13">
        <v>0</v>
      </c>
      <c r="P15" s="13">
        <f t="shared" si="2"/>
        <v>1517535963.9686999</v>
      </c>
      <c r="Q15" s="13">
        <f t="shared" si="3"/>
        <v>9783816601.8444996</v>
      </c>
      <c r="R15" s="9">
        <f t="shared" si="4"/>
        <v>7842339132.2245007</v>
      </c>
      <c r="S15" s="1">
        <v>6</v>
      </c>
    </row>
    <row r="16" spans="1:19" ht="30" customHeight="1" x14ac:dyDescent="0.25">
      <c r="A16" s="1">
        <v>7</v>
      </c>
      <c r="B16" s="21" t="s">
        <v>45</v>
      </c>
      <c r="C16" s="17">
        <v>23</v>
      </c>
      <c r="D16" s="5">
        <v>2612411656.8200674</v>
      </c>
      <c r="E16" s="5">
        <v>0</v>
      </c>
      <c r="F16" s="6">
        <f t="shared" si="0"/>
        <v>2612411656.8200674</v>
      </c>
      <c r="G16" s="7">
        <v>32909106.25</v>
      </c>
      <c r="H16" s="7">
        <v>103855987.23</v>
      </c>
      <c r="I16" s="5">
        <v>787915920.48000002</v>
      </c>
      <c r="J16" s="8">
        <f t="shared" si="1"/>
        <v>1687730642.8600674</v>
      </c>
      <c r="K16" s="6">
        <v>57834479.739199996</v>
      </c>
      <c r="L16" s="6">
        <v>3978572.2752999999</v>
      </c>
      <c r="M16" s="13">
        <v>74055453.479632586</v>
      </c>
      <c r="N16" s="13">
        <v>1716568331.2948</v>
      </c>
      <c r="O16" s="13">
        <v>0</v>
      </c>
      <c r="P16" s="13">
        <f t="shared" si="2"/>
        <v>1716568331.2948</v>
      </c>
      <c r="Q16" s="13">
        <f t="shared" si="3"/>
        <v>4464848493.6090002</v>
      </c>
      <c r="R16" s="9">
        <f t="shared" si="4"/>
        <v>3540167479.6490002</v>
      </c>
      <c r="S16" s="1">
        <v>7</v>
      </c>
    </row>
    <row r="17" spans="1:19" ht="30" customHeight="1" x14ac:dyDescent="0.25">
      <c r="A17" s="1">
        <v>8</v>
      </c>
      <c r="B17" s="21" t="s">
        <v>46</v>
      </c>
      <c r="C17" s="17">
        <v>27</v>
      </c>
      <c r="D17" s="5">
        <v>2894177720.551856</v>
      </c>
      <c r="E17" s="5">
        <v>0</v>
      </c>
      <c r="F17" s="6">
        <f t="shared" si="0"/>
        <v>2894177720.551856</v>
      </c>
      <c r="G17" s="7">
        <v>24543400.530000001</v>
      </c>
      <c r="H17" s="7">
        <v>0</v>
      </c>
      <c r="I17" s="5">
        <v>60222144.93</v>
      </c>
      <c r="J17" s="8">
        <f t="shared" si="1"/>
        <v>2809412175.091856</v>
      </c>
      <c r="K17" s="6">
        <v>64072315.0647</v>
      </c>
      <c r="L17" s="6">
        <v>4407687.898</v>
      </c>
      <c r="M17" s="13">
        <v>82042829.263743713</v>
      </c>
      <c r="N17" s="13">
        <v>1700689857.8719001</v>
      </c>
      <c r="O17" s="13">
        <v>0</v>
      </c>
      <c r="P17" s="13">
        <f t="shared" si="2"/>
        <v>1700689857.8719001</v>
      </c>
      <c r="Q17" s="13">
        <f t="shared" si="3"/>
        <v>4745390410.6501999</v>
      </c>
      <c r="R17" s="9">
        <f t="shared" si="4"/>
        <v>4660624865.1901999</v>
      </c>
      <c r="S17" s="1">
        <v>8</v>
      </c>
    </row>
    <row r="18" spans="1:19" ht="30" customHeight="1" x14ac:dyDescent="0.25">
      <c r="A18" s="1">
        <v>9</v>
      </c>
      <c r="B18" s="21" t="s">
        <v>47</v>
      </c>
      <c r="C18" s="17">
        <v>18</v>
      </c>
      <c r="D18" s="5">
        <v>2342439149.4879718</v>
      </c>
      <c r="E18" s="5">
        <v>0</v>
      </c>
      <c r="F18" s="6">
        <f t="shared" si="0"/>
        <v>2342439149.4879718</v>
      </c>
      <c r="G18" s="7">
        <v>221816087.66999999</v>
      </c>
      <c r="H18" s="7">
        <v>633134951.91999996</v>
      </c>
      <c r="I18" s="5">
        <v>629637666.86000001</v>
      </c>
      <c r="J18" s="8">
        <f t="shared" si="1"/>
        <v>857850443.03797162</v>
      </c>
      <c r="K18" s="6">
        <v>51857734.286300004</v>
      </c>
      <c r="L18" s="6">
        <v>3567417.6506000003</v>
      </c>
      <c r="M18" s="13">
        <v>66402396.038128451</v>
      </c>
      <c r="N18" s="13">
        <v>1490637675.0954001</v>
      </c>
      <c r="O18" s="13">
        <v>0</v>
      </c>
      <c r="P18" s="13">
        <f t="shared" si="2"/>
        <v>1490637675.0954001</v>
      </c>
      <c r="Q18" s="13">
        <f t="shared" si="3"/>
        <v>3954904372.5584002</v>
      </c>
      <c r="R18" s="9">
        <f t="shared" si="4"/>
        <v>2470315666.1084003</v>
      </c>
      <c r="S18" s="1">
        <v>9</v>
      </c>
    </row>
    <row r="19" spans="1:19" ht="30" customHeight="1" x14ac:dyDescent="0.25">
      <c r="A19" s="1">
        <v>10</v>
      </c>
      <c r="B19" s="21" t="s">
        <v>48</v>
      </c>
      <c r="C19" s="17">
        <v>25</v>
      </c>
      <c r="D19" s="5">
        <v>2365209928.8425899</v>
      </c>
      <c r="E19" s="5">
        <v>13045515779.7698</v>
      </c>
      <c r="F19" s="6">
        <f t="shared" si="0"/>
        <v>15410725708.612391</v>
      </c>
      <c r="G19" s="7">
        <v>26519863.5</v>
      </c>
      <c r="H19" s="7">
        <v>0</v>
      </c>
      <c r="I19" s="5">
        <v>991960976.16999996</v>
      </c>
      <c r="J19" s="8">
        <f t="shared" si="1"/>
        <v>14392244868.94239</v>
      </c>
      <c r="K19" s="6">
        <v>467725480.35869998</v>
      </c>
      <c r="L19" s="6">
        <v>3602096.4134</v>
      </c>
      <c r="M19" s="13">
        <v>67047891.696410179</v>
      </c>
      <c r="N19" s="13">
        <v>1957597643.7026999</v>
      </c>
      <c r="O19" s="13">
        <v>0</v>
      </c>
      <c r="P19" s="13">
        <f t="shared" si="2"/>
        <v>1957597643.7026999</v>
      </c>
      <c r="Q19" s="13">
        <f t="shared" si="3"/>
        <v>17906698820.783604</v>
      </c>
      <c r="R19" s="9">
        <f t="shared" si="4"/>
        <v>16888217981.1136</v>
      </c>
      <c r="S19" s="1">
        <v>10</v>
      </c>
    </row>
    <row r="20" spans="1:19" ht="30" customHeight="1" x14ac:dyDescent="0.25">
      <c r="A20" s="1">
        <v>11</v>
      </c>
      <c r="B20" s="21" t="s">
        <v>49</v>
      </c>
      <c r="C20" s="17">
        <v>13</v>
      </c>
      <c r="D20" s="5">
        <v>2084014329.9638622</v>
      </c>
      <c r="E20" s="5">
        <v>0</v>
      </c>
      <c r="F20" s="6">
        <f t="shared" si="0"/>
        <v>2084014329.9638622</v>
      </c>
      <c r="G20" s="7">
        <v>41682938.469999999</v>
      </c>
      <c r="H20" s="7">
        <v>0</v>
      </c>
      <c r="I20" s="5">
        <v>197743089.19999999</v>
      </c>
      <c r="J20" s="8">
        <f t="shared" si="1"/>
        <v>1844588302.2938621</v>
      </c>
      <c r="K20" s="6">
        <v>46136635.558900006</v>
      </c>
      <c r="L20" s="6">
        <v>3173849.5789999999</v>
      </c>
      <c r="M20" s="13">
        <v>59076687.190537721</v>
      </c>
      <c r="N20" s="13">
        <v>1505907519.7737</v>
      </c>
      <c r="O20" s="13">
        <v>0</v>
      </c>
      <c r="P20" s="13">
        <f t="shared" si="2"/>
        <v>1505907519.7737</v>
      </c>
      <c r="Q20" s="13">
        <f t="shared" si="3"/>
        <v>3698309022.066</v>
      </c>
      <c r="R20" s="9">
        <f t="shared" si="4"/>
        <v>3458882994.3959999</v>
      </c>
      <c r="S20" s="1">
        <v>11</v>
      </c>
    </row>
    <row r="21" spans="1:19" ht="30" customHeight="1" x14ac:dyDescent="0.25">
      <c r="A21" s="1">
        <v>12</v>
      </c>
      <c r="B21" s="21" t="s">
        <v>50</v>
      </c>
      <c r="C21" s="17">
        <v>18</v>
      </c>
      <c r="D21" s="5">
        <v>2178128978.5604715</v>
      </c>
      <c r="E21" s="5">
        <v>1336101169.9616001</v>
      </c>
      <c r="F21" s="6">
        <f t="shared" si="0"/>
        <v>3514230148.5220718</v>
      </c>
      <c r="G21" s="7">
        <v>91028172.920000002</v>
      </c>
      <c r="H21" s="7">
        <v>0</v>
      </c>
      <c r="I21" s="5">
        <v>293406548.17000002</v>
      </c>
      <c r="J21" s="8">
        <f t="shared" si="1"/>
        <v>3129795427.4320717</v>
      </c>
      <c r="K21" s="6">
        <v>88011735.45920001</v>
      </c>
      <c r="L21" s="6">
        <v>3317181.4822</v>
      </c>
      <c r="M21" s="13">
        <v>61744606.297828443</v>
      </c>
      <c r="N21" s="13">
        <v>1832672382.6640999</v>
      </c>
      <c r="O21" s="13">
        <v>0</v>
      </c>
      <c r="P21" s="13">
        <f t="shared" si="2"/>
        <v>1832672382.6640999</v>
      </c>
      <c r="Q21" s="13">
        <f t="shared" si="3"/>
        <v>5499976054.4254007</v>
      </c>
      <c r="R21" s="9">
        <f t="shared" si="4"/>
        <v>5115541333.3354006</v>
      </c>
      <c r="S21" s="1">
        <v>12</v>
      </c>
    </row>
    <row r="22" spans="1:19" ht="30" customHeight="1" x14ac:dyDescent="0.25">
      <c r="A22" s="1">
        <v>13</v>
      </c>
      <c r="B22" s="21" t="s">
        <v>51</v>
      </c>
      <c r="C22" s="17">
        <v>16</v>
      </c>
      <c r="D22" s="5">
        <v>2082838332.8225448</v>
      </c>
      <c r="E22" s="5">
        <v>0</v>
      </c>
      <c r="F22" s="6">
        <f t="shared" si="0"/>
        <v>2082838332.8225448</v>
      </c>
      <c r="G22" s="7">
        <v>99000874.819999993</v>
      </c>
      <c r="H22" s="7">
        <v>491490204.30000001</v>
      </c>
      <c r="I22" s="5">
        <f>849292789.61-H22</f>
        <v>357802585.31</v>
      </c>
      <c r="J22" s="8">
        <f t="shared" si="1"/>
        <v>1134544668.392545</v>
      </c>
      <c r="K22" s="6">
        <v>46110600.9252</v>
      </c>
      <c r="L22" s="6">
        <v>3172058.5976999998</v>
      </c>
      <c r="M22" s="13">
        <v>59043350.555855088</v>
      </c>
      <c r="N22" s="13">
        <v>1432860152.891</v>
      </c>
      <c r="O22" s="13">
        <v>0</v>
      </c>
      <c r="P22" s="13">
        <f t="shared" si="2"/>
        <v>1432860152.891</v>
      </c>
      <c r="Q22" s="13">
        <f t="shared" si="3"/>
        <v>3624024495.7923002</v>
      </c>
      <c r="R22" s="9">
        <f t="shared" si="4"/>
        <v>2675730831.3622999</v>
      </c>
      <c r="S22" s="1">
        <v>13</v>
      </c>
    </row>
    <row r="23" spans="1:19" ht="30" customHeight="1" x14ac:dyDescent="0.25">
      <c r="A23" s="1">
        <v>14</v>
      </c>
      <c r="B23" s="21" t="s">
        <v>52</v>
      </c>
      <c r="C23" s="17">
        <v>17</v>
      </c>
      <c r="D23" s="5">
        <v>2342641317.8021107</v>
      </c>
      <c r="E23" s="5">
        <v>0</v>
      </c>
      <c r="F23" s="6">
        <f t="shared" si="0"/>
        <v>2342641317.8021107</v>
      </c>
      <c r="G23" s="7">
        <v>97607572.599999994</v>
      </c>
      <c r="H23" s="7">
        <v>0</v>
      </c>
      <c r="I23" s="5">
        <v>79421111.930000007</v>
      </c>
      <c r="J23" s="8">
        <f t="shared" si="1"/>
        <v>2165612633.2721109</v>
      </c>
      <c r="K23" s="6">
        <v>51862209.950599998</v>
      </c>
      <c r="L23" s="6">
        <v>3567725.5491000004</v>
      </c>
      <c r="M23" s="13">
        <v>66408127.015289225</v>
      </c>
      <c r="N23" s="13">
        <v>1655373286.9335999</v>
      </c>
      <c r="O23" s="13">
        <v>0</v>
      </c>
      <c r="P23" s="13">
        <f t="shared" si="2"/>
        <v>1655373286.9335999</v>
      </c>
      <c r="Q23" s="13">
        <f t="shared" si="3"/>
        <v>4119852667.2507</v>
      </c>
      <c r="R23" s="9">
        <f t="shared" si="4"/>
        <v>3942823982.7207003</v>
      </c>
      <c r="S23" s="1">
        <v>14</v>
      </c>
    </row>
    <row r="24" spans="1:19" ht="30" customHeight="1" x14ac:dyDescent="0.25">
      <c r="A24" s="1">
        <v>15</v>
      </c>
      <c r="B24" s="21" t="s">
        <v>53</v>
      </c>
      <c r="C24" s="17">
        <v>11</v>
      </c>
      <c r="D24" s="5">
        <v>2194140876.7618413</v>
      </c>
      <c r="E24" s="5">
        <v>0</v>
      </c>
      <c r="F24" s="6">
        <f t="shared" si="0"/>
        <v>2194140876.7618413</v>
      </c>
      <c r="G24" s="7">
        <v>57175560.829999998</v>
      </c>
      <c r="H24" s="7">
        <v>533792423.91000003</v>
      </c>
      <c r="I24" s="5">
        <v>27861986.899999917</v>
      </c>
      <c r="J24" s="8">
        <f t="shared" si="1"/>
        <v>1575310905.1218414</v>
      </c>
      <c r="K24" s="6">
        <v>48574655.439900003</v>
      </c>
      <c r="L24" s="6">
        <v>3341566.798</v>
      </c>
      <c r="M24" s="13">
        <v>62198504.279558681</v>
      </c>
      <c r="N24" s="13">
        <v>1476419658.8583</v>
      </c>
      <c r="O24" s="13">
        <v>0</v>
      </c>
      <c r="P24" s="13">
        <f t="shared" si="2"/>
        <v>1476419658.8583</v>
      </c>
      <c r="Q24" s="13">
        <f t="shared" si="3"/>
        <v>3784675262.1375999</v>
      </c>
      <c r="R24" s="9">
        <f t="shared" si="4"/>
        <v>3165845290.4976001</v>
      </c>
      <c r="S24" s="1">
        <v>15</v>
      </c>
    </row>
    <row r="25" spans="1:19" ht="30" customHeight="1" x14ac:dyDescent="0.25">
      <c r="A25" s="1">
        <v>16</v>
      </c>
      <c r="B25" s="21" t="s">
        <v>54</v>
      </c>
      <c r="C25" s="17">
        <v>27</v>
      </c>
      <c r="D25" s="5">
        <v>2421946217.8335328</v>
      </c>
      <c r="E25" s="5">
        <v>986534386.699</v>
      </c>
      <c r="F25" s="6">
        <f t="shared" si="0"/>
        <v>3408480604.5325327</v>
      </c>
      <c r="G25" s="7">
        <v>55600505.689999998</v>
      </c>
      <c r="H25" s="7">
        <v>0</v>
      </c>
      <c r="I25" s="5">
        <v>525452571.74000001</v>
      </c>
      <c r="J25" s="8">
        <f t="shared" si="1"/>
        <v>2827427527.1025324</v>
      </c>
      <c r="K25" s="6">
        <v>85364569.647599995</v>
      </c>
      <c r="L25" s="6">
        <v>3688502.9397</v>
      </c>
      <c r="M25" s="13">
        <v>68656226.128467068</v>
      </c>
      <c r="N25" s="13">
        <v>1651944004.1452</v>
      </c>
      <c r="O25" s="13">
        <v>0</v>
      </c>
      <c r="P25" s="13">
        <f t="shared" si="2"/>
        <v>1651944004.1452</v>
      </c>
      <c r="Q25" s="13">
        <f t="shared" si="3"/>
        <v>5218133907.3935003</v>
      </c>
      <c r="R25" s="9">
        <f t="shared" si="4"/>
        <v>4637080829.9635</v>
      </c>
      <c r="S25" s="1">
        <v>16</v>
      </c>
    </row>
    <row r="26" spans="1:19" ht="30" customHeight="1" x14ac:dyDescent="0.25">
      <c r="A26" s="1">
        <v>17</v>
      </c>
      <c r="B26" s="21" t="s">
        <v>55</v>
      </c>
      <c r="C26" s="17">
        <v>27</v>
      </c>
      <c r="D26" s="5">
        <v>2605027827.2059879</v>
      </c>
      <c r="E26" s="5">
        <v>0</v>
      </c>
      <c r="F26" s="6">
        <f t="shared" si="0"/>
        <v>2605027827.2059879</v>
      </c>
      <c r="G26" s="7">
        <v>35446402.5</v>
      </c>
      <c r="H26" s="7">
        <v>0</v>
      </c>
      <c r="I26" s="5">
        <v>74027815.959999993</v>
      </c>
      <c r="J26" s="8">
        <f t="shared" si="1"/>
        <v>2495553608.7459879</v>
      </c>
      <c r="K26" s="6">
        <v>57671013.9507</v>
      </c>
      <c r="L26" s="6">
        <v>3967327.0766000003</v>
      </c>
      <c r="M26" s="13">
        <v>73846140.038011968</v>
      </c>
      <c r="N26" s="13">
        <v>1763715414.7562001</v>
      </c>
      <c r="O26" s="13">
        <v>0</v>
      </c>
      <c r="P26" s="13">
        <f t="shared" si="2"/>
        <v>1763715414.7562001</v>
      </c>
      <c r="Q26" s="13">
        <f t="shared" si="3"/>
        <v>4504227723.0275002</v>
      </c>
      <c r="R26" s="9">
        <f t="shared" si="4"/>
        <v>4394753504.5675001</v>
      </c>
      <c r="S26" s="1">
        <v>17</v>
      </c>
    </row>
    <row r="27" spans="1:19" ht="30" customHeight="1" x14ac:dyDescent="0.25">
      <c r="A27" s="1">
        <v>18</v>
      </c>
      <c r="B27" s="21" t="s">
        <v>56</v>
      </c>
      <c r="C27" s="17">
        <v>23</v>
      </c>
      <c r="D27" s="5">
        <v>3052093091.5083833</v>
      </c>
      <c r="E27" s="5">
        <v>0</v>
      </c>
      <c r="F27" s="6">
        <f t="shared" si="0"/>
        <v>3052093091.5083833</v>
      </c>
      <c r="G27" s="7">
        <v>499421870.93000001</v>
      </c>
      <c r="H27" s="7">
        <v>0</v>
      </c>
      <c r="I27" s="5">
        <v>776799.59</v>
      </c>
      <c r="J27" s="8">
        <f t="shared" si="1"/>
        <v>2551894420.9883833</v>
      </c>
      <c r="K27" s="6">
        <v>67568300.580599993</v>
      </c>
      <c r="L27" s="6">
        <v>4648185.1116000004</v>
      </c>
      <c r="M27" s="13">
        <v>86519342.135616764</v>
      </c>
      <c r="N27" s="13">
        <v>2109306873.0941</v>
      </c>
      <c r="O27" s="13">
        <v>0</v>
      </c>
      <c r="P27" s="13">
        <f t="shared" si="2"/>
        <v>2109306873.0941</v>
      </c>
      <c r="Q27" s="13">
        <f t="shared" si="3"/>
        <v>5320135792.4302998</v>
      </c>
      <c r="R27" s="9">
        <f t="shared" si="4"/>
        <v>4819937121.9102993</v>
      </c>
      <c r="S27" s="1">
        <v>18</v>
      </c>
    </row>
    <row r="28" spans="1:19" ht="30" customHeight="1" x14ac:dyDescent="0.25">
      <c r="A28" s="1">
        <v>19</v>
      </c>
      <c r="B28" s="21" t="s">
        <v>57</v>
      </c>
      <c r="C28" s="17">
        <v>44</v>
      </c>
      <c r="D28" s="5">
        <v>3694898476.4222755</v>
      </c>
      <c r="E28" s="5">
        <v>0</v>
      </c>
      <c r="F28" s="6">
        <f t="shared" si="0"/>
        <v>3694898476.4222755</v>
      </c>
      <c r="G28" s="7">
        <v>88827869.689999998</v>
      </c>
      <c r="H28" s="7">
        <v>0</v>
      </c>
      <c r="I28" s="5">
        <v>261606448.74000001</v>
      </c>
      <c r="J28" s="8">
        <f t="shared" si="1"/>
        <v>3344464157.9922752</v>
      </c>
      <c r="K28" s="6">
        <v>81798950.222000003</v>
      </c>
      <c r="L28" s="6">
        <v>5627145.5528999995</v>
      </c>
      <c r="M28" s="13">
        <v>104741295.85092455</v>
      </c>
      <c r="N28" s="13">
        <v>3021285752.4338999</v>
      </c>
      <c r="O28" s="13">
        <v>0</v>
      </c>
      <c r="P28" s="13">
        <f t="shared" si="2"/>
        <v>3021285752.4338999</v>
      </c>
      <c r="Q28" s="13">
        <f t="shared" si="3"/>
        <v>6908351620.4820004</v>
      </c>
      <c r="R28" s="9">
        <f t="shared" si="4"/>
        <v>6557917302.052</v>
      </c>
      <c r="S28" s="1">
        <v>19</v>
      </c>
    </row>
    <row r="29" spans="1:19" ht="30" customHeight="1" x14ac:dyDescent="0.25">
      <c r="A29" s="1">
        <v>20</v>
      </c>
      <c r="B29" s="21" t="s">
        <v>58</v>
      </c>
      <c r="C29" s="17">
        <v>34</v>
      </c>
      <c r="D29" s="5">
        <v>2863441162.5901346</v>
      </c>
      <c r="E29" s="5">
        <v>0</v>
      </c>
      <c r="F29" s="6">
        <f t="shared" si="0"/>
        <v>2863441162.5901346</v>
      </c>
      <c r="G29" s="7">
        <v>131780920.95999999</v>
      </c>
      <c r="H29" s="7">
        <v>0</v>
      </c>
      <c r="I29" s="5">
        <v>37242725.270000003</v>
      </c>
      <c r="J29" s="8">
        <f t="shared" si="1"/>
        <v>2694417516.3601346</v>
      </c>
      <c r="K29" s="6">
        <v>63391858.427699998</v>
      </c>
      <c r="L29" s="6">
        <v>4360877.6541000009</v>
      </c>
      <c r="M29" s="13">
        <v>81171523.353265256</v>
      </c>
      <c r="N29" s="13">
        <v>1992941383.7879</v>
      </c>
      <c r="O29" s="13">
        <v>0</v>
      </c>
      <c r="P29" s="13">
        <f t="shared" si="2"/>
        <v>1992941383.7879</v>
      </c>
      <c r="Q29" s="13">
        <f t="shared" si="3"/>
        <v>5005306805.8130999</v>
      </c>
      <c r="R29" s="9">
        <f t="shared" si="4"/>
        <v>4836283159.5830994</v>
      </c>
      <c r="S29" s="1">
        <v>20</v>
      </c>
    </row>
    <row r="30" spans="1:19" ht="30" customHeight="1" x14ac:dyDescent="0.25">
      <c r="A30" s="1">
        <v>21</v>
      </c>
      <c r="B30" s="21" t="s">
        <v>59</v>
      </c>
      <c r="C30" s="17">
        <v>21</v>
      </c>
      <c r="D30" s="5">
        <v>2459710244.5170135</v>
      </c>
      <c r="E30" s="5">
        <v>0</v>
      </c>
      <c r="F30" s="6">
        <f t="shared" si="0"/>
        <v>2459710244.5170135</v>
      </c>
      <c r="G30" s="7">
        <v>60837586.390000001</v>
      </c>
      <c r="H30" s="7">
        <v>0</v>
      </c>
      <c r="I30" s="5">
        <v>38104363.149999999</v>
      </c>
      <c r="J30" s="8">
        <f t="shared" si="1"/>
        <v>2360768294.9770136</v>
      </c>
      <c r="K30" s="6">
        <v>54453922.656899996</v>
      </c>
      <c r="L30" s="6">
        <v>3746015.6634</v>
      </c>
      <c r="M30" s="13">
        <v>69726743.525086492</v>
      </c>
      <c r="N30" s="13">
        <v>1558937928.6364</v>
      </c>
      <c r="O30" s="13">
        <v>0</v>
      </c>
      <c r="P30" s="13">
        <f t="shared" si="2"/>
        <v>1558937928.6364</v>
      </c>
      <c r="Q30" s="13">
        <f t="shared" si="3"/>
        <v>4146574854.9988003</v>
      </c>
      <c r="R30" s="9">
        <f t="shared" si="4"/>
        <v>4047632905.4588003</v>
      </c>
      <c r="S30" s="1">
        <v>21</v>
      </c>
    </row>
    <row r="31" spans="1:19" ht="30" customHeight="1" x14ac:dyDescent="0.25">
      <c r="A31" s="1">
        <v>22</v>
      </c>
      <c r="B31" s="21" t="s">
        <v>60</v>
      </c>
      <c r="C31" s="17">
        <v>21</v>
      </c>
      <c r="D31" s="5">
        <v>2574574063.0861826</v>
      </c>
      <c r="E31" s="5">
        <v>0</v>
      </c>
      <c r="F31" s="6">
        <f t="shared" si="0"/>
        <v>2574574063.0861826</v>
      </c>
      <c r="G31" s="7">
        <v>46707847.82</v>
      </c>
      <c r="H31" s="7">
        <v>117593824.09999999</v>
      </c>
      <c r="I31" s="5">
        <v>182410406.56000003</v>
      </c>
      <c r="J31" s="8">
        <f t="shared" si="1"/>
        <v>2227861984.6061826</v>
      </c>
      <c r="K31" s="6">
        <v>56996817.902499996</v>
      </c>
      <c r="L31" s="6">
        <v>3920947.5101000001</v>
      </c>
      <c r="M31" s="13">
        <v>72982850.641617402</v>
      </c>
      <c r="N31" s="13">
        <v>1735771684.7261</v>
      </c>
      <c r="O31" s="13">
        <v>0</v>
      </c>
      <c r="P31" s="13">
        <f t="shared" si="2"/>
        <v>1735771684.7261</v>
      </c>
      <c r="Q31" s="13">
        <f t="shared" si="3"/>
        <v>4444246363.8664999</v>
      </c>
      <c r="R31" s="9">
        <f t="shared" si="4"/>
        <v>4097534285.3864999</v>
      </c>
      <c r="S31" s="1">
        <v>22</v>
      </c>
    </row>
    <row r="32" spans="1:19" ht="30" customHeight="1" x14ac:dyDescent="0.25">
      <c r="A32" s="1">
        <v>23</v>
      </c>
      <c r="B32" s="21" t="s">
        <v>61</v>
      </c>
      <c r="C32" s="17">
        <v>16</v>
      </c>
      <c r="D32" s="5">
        <v>2073552234.5806212</v>
      </c>
      <c r="E32" s="5">
        <v>0</v>
      </c>
      <c r="F32" s="6">
        <f t="shared" si="0"/>
        <v>2073552234.5806212</v>
      </c>
      <c r="G32" s="7">
        <v>45348106.890000001</v>
      </c>
      <c r="H32" s="7">
        <v>0</v>
      </c>
      <c r="I32" s="5">
        <v>247297410.31999999</v>
      </c>
      <c r="J32" s="8">
        <f t="shared" si="1"/>
        <v>1780906717.3706212</v>
      </c>
      <c r="K32" s="6">
        <v>45905022.042300001</v>
      </c>
      <c r="L32" s="6">
        <v>3157916.3326999997</v>
      </c>
      <c r="M32" s="13">
        <v>58780112.486078702</v>
      </c>
      <c r="N32" s="13">
        <v>1450601517.7976</v>
      </c>
      <c r="O32" s="13">
        <v>0</v>
      </c>
      <c r="P32" s="13">
        <f t="shared" si="2"/>
        <v>1450601517.7976</v>
      </c>
      <c r="Q32" s="13">
        <f t="shared" si="3"/>
        <v>3631996803.2392998</v>
      </c>
      <c r="R32" s="9">
        <f t="shared" si="4"/>
        <v>3339351286.0292997</v>
      </c>
      <c r="S32" s="1">
        <v>23</v>
      </c>
    </row>
    <row r="33" spans="1:19" ht="30" customHeight="1" x14ac:dyDescent="0.25">
      <c r="A33" s="1">
        <v>24</v>
      </c>
      <c r="B33" s="21" t="s">
        <v>62</v>
      </c>
      <c r="C33" s="17">
        <v>20</v>
      </c>
      <c r="D33" s="5">
        <v>3120581462.1911898</v>
      </c>
      <c r="E33" s="5">
        <v>0</v>
      </c>
      <c r="F33" s="6">
        <f t="shared" si="0"/>
        <v>3120581462.1911898</v>
      </c>
      <c r="G33" s="7">
        <v>1624033480.1500001</v>
      </c>
      <c r="H33" s="7">
        <v>1000000000</v>
      </c>
      <c r="I33" s="5">
        <f>2000776799.59-H33</f>
        <v>1000776799.5899999</v>
      </c>
      <c r="J33" s="8">
        <f t="shared" si="1"/>
        <v>-504228817.54881024</v>
      </c>
      <c r="K33" s="6">
        <v>69084520.005099997</v>
      </c>
      <c r="L33" s="6">
        <v>4752489.4727999996</v>
      </c>
      <c r="M33" s="13">
        <v>88460819.209909886</v>
      </c>
      <c r="N33" s="13">
        <v>10040709096.7521</v>
      </c>
      <c r="O33" s="13">
        <v>1000000000</v>
      </c>
      <c r="P33" s="13">
        <f t="shared" si="2"/>
        <v>9040709096.7521</v>
      </c>
      <c r="Q33" s="13">
        <f t="shared" si="3"/>
        <v>13323588387.6311</v>
      </c>
      <c r="R33" s="9">
        <f t="shared" si="4"/>
        <v>8698778107.8910999</v>
      </c>
      <c r="S33" s="1">
        <v>24</v>
      </c>
    </row>
    <row r="34" spans="1:19" ht="30" customHeight="1" x14ac:dyDescent="0.25">
      <c r="A34" s="1">
        <v>25</v>
      </c>
      <c r="B34" s="21" t="s">
        <v>63</v>
      </c>
      <c r="C34" s="17">
        <v>13</v>
      </c>
      <c r="D34" s="5">
        <v>2148204570.5807557</v>
      </c>
      <c r="E34" s="5">
        <v>0</v>
      </c>
      <c r="F34" s="6">
        <f t="shared" si="0"/>
        <v>2148204570.5807557</v>
      </c>
      <c r="G34" s="7">
        <v>34204952.520000003</v>
      </c>
      <c r="H34" s="7">
        <v>124722672.83</v>
      </c>
      <c r="I34" s="5">
        <v>776799.59000000358</v>
      </c>
      <c r="J34" s="8">
        <f t="shared" si="1"/>
        <v>1988500145.6407559</v>
      </c>
      <c r="K34" s="6">
        <v>47557701.482000001</v>
      </c>
      <c r="L34" s="6">
        <v>3271608.1038000002</v>
      </c>
      <c r="M34" s="13">
        <v>60896322.83454401</v>
      </c>
      <c r="N34" s="13">
        <v>1338316442.1572001</v>
      </c>
      <c r="O34" s="13">
        <v>0</v>
      </c>
      <c r="P34" s="13">
        <f t="shared" si="2"/>
        <v>1338316442.1572001</v>
      </c>
      <c r="Q34" s="13">
        <f t="shared" si="3"/>
        <v>3598246645.1582994</v>
      </c>
      <c r="R34" s="9">
        <f t="shared" si="4"/>
        <v>3438542220.2182999</v>
      </c>
      <c r="S34" s="1">
        <v>25</v>
      </c>
    </row>
    <row r="35" spans="1:19" ht="30" customHeight="1" x14ac:dyDescent="0.25">
      <c r="A35" s="1">
        <v>26</v>
      </c>
      <c r="B35" s="21" t="s">
        <v>64</v>
      </c>
      <c r="C35" s="17">
        <v>25</v>
      </c>
      <c r="D35" s="5">
        <v>2759273124.2144389</v>
      </c>
      <c r="E35" s="5">
        <v>0</v>
      </c>
      <c r="F35" s="6">
        <f t="shared" si="0"/>
        <v>2759273124.2144389</v>
      </c>
      <c r="G35" s="7">
        <v>71360609.75</v>
      </c>
      <c r="H35" s="7">
        <v>275631992.38</v>
      </c>
      <c r="I35" s="5">
        <v>291626931.51999998</v>
      </c>
      <c r="J35" s="8">
        <f t="shared" si="1"/>
        <v>2120653590.5644388</v>
      </c>
      <c r="K35" s="6">
        <v>61085750.087700002</v>
      </c>
      <c r="L35" s="6">
        <v>4202234.9495000001</v>
      </c>
      <c r="M35" s="13">
        <v>78218615.332861006</v>
      </c>
      <c r="N35" s="13">
        <v>1673692591.4990001</v>
      </c>
      <c r="O35" s="13">
        <v>0</v>
      </c>
      <c r="P35" s="13">
        <f t="shared" si="2"/>
        <v>1673692591.4990001</v>
      </c>
      <c r="Q35" s="13">
        <f t="shared" si="3"/>
        <v>4576472316.0834999</v>
      </c>
      <c r="R35" s="9">
        <f t="shared" si="4"/>
        <v>3937852782.4334998</v>
      </c>
      <c r="S35" s="1">
        <v>26</v>
      </c>
    </row>
    <row r="36" spans="1:19" ht="30" customHeight="1" x14ac:dyDescent="0.25">
      <c r="A36" s="1">
        <v>27</v>
      </c>
      <c r="B36" s="21" t="s">
        <v>65</v>
      </c>
      <c r="C36" s="17">
        <v>20</v>
      </c>
      <c r="D36" s="5">
        <v>2164159289.7168937</v>
      </c>
      <c r="E36" s="5">
        <v>0</v>
      </c>
      <c r="F36" s="6">
        <f t="shared" si="0"/>
        <v>2164159289.7168937</v>
      </c>
      <c r="G36" s="7">
        <v>115070808.52</v>
      </c>
      <c r="H36" s="7">
        <v>0</v>
      </c>
      <c r="I36" s="5">
        <v>888896735.88</v>
      </c>
      <c r="J36" s="8">
        <f t="shared" si="1"/>
        <v>1160191745.3168936</v>
      </c>
      <c r="K36" s="6">
        <v>47910912.6162</v>
      </c>
      <c r="L36" s="6">
        <v>3295906.3472000002</v>
      </c>
      <c r="M36" s="13">
        <v>61348599.92600628</v>
      </c>
      <c r="N36" s="13">
        <v>1730792994.0627</v>
      </c>
      <c r="O36" s="13">
        <v>0</v>
      </c>
      <c r="P36" s="13">
        <f t="shared" si="2"/>
        <v>1730792994.0627</v>
      </c>
      <c r="Q36" s="13">
        <f t="shared" si="3"/>
        <v>4007507702.6689997</v>
      </c>
      <c r="R36" s="9">
        <f t="shared" si="4"/>
        <v>3003540158.2690001</v>
      </c>
      <c r="S36" s="1">
        <v>27</v>
      </c>
    </row>
    <row r="37" spans="1:19" ht="30" customHeight="1" x14ac:dyDescent="0.25">
      <c r="A37" s="1">
        <v>28</v>
      </c>
      <c r="B37" s="21" t="s">
        <v>66</v>
      </c>
      <c r="C37" s="17">
        <v>18</v>
      </c>
      <c r="D37" s="5">
        <v>2168446731.6413097</v>
      </c>
      <c r="E37" s="5">
        <v>1066807734.5854</v>
      </c>
      <c r="F37" s="6">
        <f t="shared" si="0"/>
        <v>3235254466.2267098</v>
      </c>
      <c r="G37" s="7">
        <v>84587125.640000001</v>
      </c>
      <c r="H37" s="7">
        <v>951959613.62</v>
      </c>
      <c r="I37" s="5">
        <v>154034065.85000002</v>
      </c>
      <c r="J37" s="8">
        <f t="shared" si="1"/>
        <v>2044673661.1167102</v>
      </c>
      <c r="K37" s="6">
        <v>82226165.633699998</v>
      </c>
      <c r="L37" s="6">
        <v>3302435.9054</v>
      </c>
      <c r="M37" s="13">
        <v>61470138.376990125</v>
      </c>
      <c r="N37" s="13">
        <v>1691963082.3764999</v>
      </c>
      <c r="O37" s="13">
        <v>0</v>
      </c>
      <c r="P37" s="13">
        <f t="shared" si="2"/>
        <v>1691963082.3764999</v>
      </c>
      <c r="Q37" s="13">
        <f t="shared" si="3"/>
        <v>5074216288.5192995</v>
      </c>
      <c r="R37" s="9">
        <f t="shared" si="4"/>
        <v>3883635483.4092999</v>
      </c>
      <c r="S37" s="1">
        <v>28</v>
      </c>
    </row>
    <row r="38" spans="1:19" ht="30" customHeight="1" x14ac:dyDescent="0.25">
      <c r="A38" s="1">
        <v>29</v>
      </c>
      <c r="B38" s="21" t="s">
        <v>67</v>
      </c>
      <c r="C38" s="17">
        <v>30</v>
      </c>
      <c r="D38" s="5">
        <v>2124485948.2763472</v>
      </c>
      <c r="E38" s="5">
        <v>0</v>
      </c>
      <c r="F38" s="6">
        <f t="shared" si="0"/>
        <v>2124485948.2763472</v>
      </c>
      <c r="G38" s="7">
        <v>161618795.03999999</v>
      </c>
      <c r="H38" s="7">
        <v>0</v>
      </c>
      <c r="I38" s="5">
        <v>1243047743.5999999</v>
      </c>
      <c r="J38" s="8">
        <f t="shared" si="1"/>
        <v>719819409.63634729</v>
      </c>
      <c r="K38" s="6">
        <v>47032610.349999994</v>
      </c>
      <c r="L38" s="6">
        <v>3235485.8293000003</v>
      </c>
      <c r="M38" s="13">
        <v>60223958.157652691</v>
      </c>
      <c r="N38" s="13">
        <v>1578133663.3657</v>
      </c>
      <c r="O38" s="13">
        <v>0</v>
      </c>
      <c r="P38" s="13">
        <f t="shared" si="2"/>
        <v>1578133663.3657</v>
      </c>
      <c r="Q38" s="13">
        <f t="shared" si="3"/>
        <v>3813111665.9790001</v>
      </c>
      <c r="R38" s="9">
        <f t="shared" si="4"/>
        <v>2408445127.3390002</v>
      </c>
      <c r="S38" s="1">
        <v>29</v>
      </c>
    </row>
    <row r="39" spans="1:19" ht="30" customHeight="1" x14ac:dyDescent="0.25">
      <c r="A39" s="1">
        <v>30</v>
      </c>
      <c r="B39" s="21" t="s">
        <v>68</v>
      </c>
      <c r="C39" s="17">
        <v>33</v>
      </c>
      <c r="D39" s="5">
        <v>2612700297.1979117</v>
      </c>
      <c r="E39" s="5">
        <v>0</v>
      </c>
      <c r="F39" s="6">
        <f t="shared" si="0"/>
        <v>2612700297.1979117</v>
      </c>
      <c r="G39" s="7">
        <v>359936332.60000002</v>
      </c>
      <c r="H39" s="7">
        <v>99912935</v>
      </c>
      <c r="I39" s="5">
        <v>421252118.94</v>
      </c>
      <c r="J39" s="8">
        <f t="shared" si="1"/>
        <v>1731598910.6579118</v>
      </c>
      <c r="K39" s="6">
        <v>57840869.764900006</v>
      </c>
      <c r="L39" s="6">
        <v>3979011.8632999999</v>
      </c>
      <c r="M39" s="13">
        <v>74063635.717788324</v>
      </c>
      <c r="N39" s="13">
        <v>3115281658.7810998</v>
      </c>
      <c r="O39" s="13">
        <v>0</v>
      </c>
      <c r="P39" s="13">
        <f t="shared" si="2"/>
        <v>3115281658.7810998</v>
      </c>
      <c r="Q39" s="13">
        <f t="shared" si="3"/>
        <v>5863865473.3249998</v>
      </c>
      <c r="R39" s="9">
        <f t="shared" si="4"/>
        <v>4982764086.7849998</v>
      </c>
      <c r="S39" s="1">
        <v>30</v>
      </c>
    </row>
    <row r="40" spans="1:19" ht="30" customHeight="1" x14ac:dyDescent="0.25">
      <c r="A40" s="1">
        <v>31</v>
      </c>
      <c r="B40" s="21" t="s">
        <v>69</v>
      </c>
      <c r="C40" s="17">
        <v>17</v>
      </c>
      <c r="D40" s="5">
        <v>2432510075.3229189</v>
      </c>
      <c r="E40" s="5">
        <v>0</v>
      </c>
      <c r="F40" s="6">
        <f t="shared" si="0"/>
        <v>2432510075.3229189</v>
      </c>
      <c r="G40" s="7">
        <v>30016657.489999998</v>
      </c>
      <c r="H40" s="7">
        <v>400864283.55500001</v>
      </c>
      <c r="I40" s="5">
        <v>989948846.64499998</v>
      </c>
      <c r="J40" s="8">
        <f t="shared" si="1"/>
        <v>1011680287.6329191</v>
      </c>
      <c r="K40" s="6">
        <v>53851755.832400002</v>
      </c>
      <c r="L40" s="6">
        <v>3704591.1664</v>
      </c>
      <c r="M40" s="13">
        <v>68955685.540480807</v>
      </c>
      <c r="N40" s="13">
        <v>1586551786.9958</v>
      </c>
      <c r="O40" s="13">
        <v>0</v>
      </c>
      <c r="P40" s="13">
        <f t="shared" si="2"/>
        <v>1586551786.9958</v>
      </c>
      <c r="Q40" s="13">
        <f t="shared" si="3"/>
        <v>4145573894.8579993</v>
      </c>
      <c r="R40" s="9">
        <f t="shared" si="4"/>
        <v>2724744107.1679997</v>
      </c>
      <c r="S40" s="1">
        <v>31</v>
      </c>
    </row>
    <row r="41" spans="1:19" ht="30" customHeight="1" x14ac:dyDescent="0.25">
      <c r="A41" s="1">
        <v>32</v>
      </c>
      <c r="B41" s="21" t="s">
        <v>70</v>
      </c>
      <c r="C41" s="17">
        <v>23</v>
      </c>
      <c r="D41" s="5">
        <v>2512207319.0686827</v>
      </c>
      <c r="E41" s="5">
        <v>6732232780.7305002</v>
      </c>
      <c r="F41" s="6">
        <f t="shared" si="0"/>
        <v>9244440099.7991829</v>
      </c>
      <c r="G41" s="7">
        <v>235396084.11000001</v>
      </c>
      <c r="H41" s="7">
        <v>0</v>
      </c>
      <c r="I41" s="5">
        <v>307411368.13</v>
      </c>
      <c r="J41" s="8">
        <f t="shared" si="1"/>
        <v>8701632647.5591831</v>
      </c>
      <c r="K41" s="6">
        <v>261472516.03689998</v>
      </c>
      <c r="L41" s="6">
        <v>3825966.0836</v>
      </c>
      <c r="M41" s="13">
        <v>71214906.636517361</v>
      </c>
      <c r="N41" s="13">
        <v>4351975726.2947998</v>
      </c>
      <c r="O41" s="13">
        <v>0</v>
      </c>
      <c r="P41" s="13">
        <f t="shared" si="2"/>
        <v>4351975726.2947998</v>
      </c>
      <c r="Q41" s="13">
        <f t="shared" si="3"/>
        <v>13932929214.850998</v>
      </c>
      <c r="R41" s="9">
        <f t="shared" si="4"/>
        <v>13390121762.610998</v>
      </c>
      <c r="S41" s="1">
        <v>32</v>
      </c>
    </row>
    <row r="42" spans="1:19" ht="30" customHeight="1" x14ac:dyDescent="0.25">
      <c r="A42" s="1">
        <v>33</v>
      </c>
      <c r="B42" s="21" t="s">
        <v>71</v>
      </c>
      <c r="C42" s="17">
        <v>23</v>
      </c>
      <c r="D42" s="5">
        <v>2567247815.0785403</v>
      </c>
      <c r="E42" s="5">
        <v>0</v>
      </c>
      <c r="F42" s="6">
        <f t="shared" si="0"/>
        <v>2567247815.0785403</v>
      </c>
      <c r="G42" s="7">
        <v>49319478.219999999</v>
      </c>
      <c r="H42" s="7">
        <v>0</v>
      </c>
      <c r="I42" s="5">
        <v>352564984.92000002</v>
      </c>
      <c r="J42" s="8">
        <f t="shared" si="1"/>
        <v>2165363351.9385405</v>
      </c>
      <c r="K42" s="6">
        <v>56834626.876800001</v>
      </c>
      <c r="L42" s="6">
        <v>3909790.0037000002</v>
      </c>
      <c r="M42" s="13">
        <v>72775169.497559577</v>
      </c>
      <c r="N42" s="13">
        <v>1693458626.1336</v>
      </c>
      <c r="O42" s="13">
        <v>0</v>
      </c>
      <c r="P42" s="13">
        <f t="shared" si="2"/>
        <v>1693458626.1336</v>
      </c>
      <c r="Q42" s="13">
        <f t="shared" si="3"/>
        <v>4394226027.5901995</v>
      </c>
      <c r="R42" s="9">
        <f t="shared" si="4"/>
        <v>3992341564.4502001</v>
      </c>
      <c r="S42" s="1">
        <v>33</v>
      </c>
    </row>
    <row r="43" spans="1:19" ht="30" customHeight="1" x14ac:dyDescent="0.25">
      <c r="A43" s="1">
        <v>34</v>
      </c>
      <c r="B43" s="21" t="s">
        <v>72</v>
      </c>
      <c r="C43" s="17">
        <v>16</v>
      </c>
      <c r="D43" s="5">
        <v>2243881852.3421555</v>
      </c>
      <c r="E43" s="5">
        <v>0</v>
      </c>
      <c r="F43" s="6">
        <f t="shared" si="0"/>
        <v>2243881852.3421555</v>
      </c>
      <c r="G43" s="7">
        <v>76381878.329999998</v>
      </c>
      <c r="H43" s="7">
        <v>0</v>
      </c>
      <c r="I43" s="5">
        <v>713205467.70000005</v>
      </c>
      <c r="J43" s="8">
        <f t="shared" si="1"/>
        <v>1454294506.3121555</v>
      </c>
      <c r="K43" s="6">
        <v>49675838.493099995</v>
      </c>
      <c r="L43" s="6">
        <v>3417319.8215999999</v>
      </c>
      <c r="M43" s="13">
        <v>63608538.750244312</v>
      </c>
      <c r="N43" s="13">
        <v>1412173225.0414</v>
      </c>
      <c r="O43" s="13">
        <v>0</v>
      </c>
      <c r="P43" s="13">
        <f t="shared" si="2"/>
        <v>1412173225.0414</v>
      </c>
      <c r="Q43" s="13">
        <f t="shared" si="3"/>
        <v>3772756774.4484997</v>
      </c>
      <c r="R43" s="9">
        <f t="shared" si="4"/>
        <v>2983169428.4184999</v>
      </c>
      <c r="S43" s="1">
        <v>34</v>
      </c>
    </row>
    <row r="44" spans="1:19" ht="30" customHeight="1" x14ac:dyDescent="0.25">
      <c r="A44" s="1">
        <v>35</v>
      </c>
      <c r="B44" s="21" t="s">
        <v>73</v>
      </c>
      <c r="C44" s="17">
        <v>17</v>
      </c>
      <c r="D44" s="5">
        <v>2313154143.7977171</v>
      </c>
      <c r="E44" s="5">
        <v>0</v>
      </c>
      <c r="F44" s="6">
        <f t="shared" si="0"/>
        <v>2313154143.7977171</v>
      </c>
      <c r="G44" s="7">
        <v>44955919.229999997</v>
      </c>
      <c r="H44" s="7">
        <v>0</v>
      </c>
      <c r="I44" s="5">
        <v>120904613.17</v>
      </c>
      <c r="J44" s="8">
        <f t="shared" si="1"/>
        <v>2147293611.397717</v>
      </c>
      <c r="K44" s="6">
        <v>51209413.2509</v>
      </c>
      <c r="L44" s="6">
        <v>3522818.0559999999</v>
      </c>
      <c r="M44" s="13">
        <v>65572237.429782927</v>
      </c>
      <c r="N44" s="13">
        <v>1522912248.8183999</v>
      </c>
      <c r="O44" s="13">
        <v>0</v>
      </c>
      <c r="P44" s="13">
        <f t="shared" si="2"/>
        <v>1522912248.8183999</v>
      </c>
      <c r="Q44" s="13">
        <f t="shared" si="3"/>
        <v>3956370861.3527999</v>
      </c>
      <c r="R44" s="9">
        <f t="shared" si="4"/>
        <v>3790510328.9527998</v>
      </c>
      <c r="S44" s="1">
        <v>35</v>
      </c>
    </row>
    <row r="45" spans="1:19" ht="30" customHeight="1" x14ac:dyDescent="0.25">
      <c r="A45" s="1">
        <v>36</v>
      </c>
      <c r="B45" s="21" t="s">
        <v>74</v>
      </c>
      <c r="C45" s="17">
        <v>14</v>
      </c>
      <c r="D45" s="5">
        <v>2318080486.6953964</v>
      </c>
      <c r="E45" s="5">
        <v>0</v>
      </c>
      <c r="F45" s="6">
        <f t="shared" si="0"/>
        <v>2318080486.6953964</v>
      </c>
      <c r="G45" s="7">
        <v>37332162.299999997</v>
      </c>
      <c r="H45" s="7">
        <v>488822936.86000001</v>
      </c>
      <c r="I45" s="5">
        <v>243731807.12</v>
      </c>
      <c r="J45" s="8">
        <f t="shared" si="1"/>
        <v>1548193580.4153962</v>
      </c>
      <c r="K45" s="6">
        <v>51318473.720399998</v>
      </c>
      <c r="L45" s="6">
        <v>3530320.6233999999</v>
      </c>
      <c r="M45" s="13">
        <v>65711887.783103295</v>
      </c>
      <c r="N45" s="13">
        <v>1545089478.2627001</v>
      </c>
      <c r="O45" s="13">
        <v>0</v>
      </c>
      <c r="P45" s="13">
        <f t="shared" si="2"/>
        <v>1545089478.2627001</v>
      </c>
      <c r="Q45" s="13">
        <f t="shared" si="3"/>
        <v>3983730647.085</v>
      </c>
      <c r="R45" s="9">
        <f t="shared" si="4"/>
        <v>3213843740.8049994</v>
      </c>
      <c r="S45" s="1">
        <v>36</v>
      </c>
    </row>
    <row r="46" spans="1:19" ht="30" customHeight="1" x14ac:dyDescent="0.25">
      <c r="A46" s="1">
        <v>37</v>
      </c>
      <c r="B46" s="95" t="s">
        <v>76</v>
      </c>
      <c r="C46" s="17">
        <v>6</v>
      </c>
      <c r="D46" s="5"/>
      <c r="E46" s="5"/>
      <c r="F46" s="6">
        <f t="shared" si="0"/>
        <v>0</v>
      </c>
      <c r="G46" s="7">
        <v>0</v>
      </c>
      <c r="H46" s="7">
        <v>0</v>
      </c>
      <c r="I46" s="5"/>
      <c r="J46" s="8">
        <f t="shared" si="1"/>
        <v>0</v>
      </c>
      <c r="K46" s="6">
        <v>0</v>
      </c>
      <c r="L46" s="6">
        <v>0</v>
      </c>
      <c r="M46" s="13"/>
      <c r="N46" s="13">
        <v>0</v>
      </c>
      <c r="O46" s="13">
        <v>0</v>
      </c>
      <c r="P46" s="13">
        <f t="shared" si="2"/>
        <v>0</v>
      </c>
      <c r="Q46" s="13">
        <f t="shared" si="3"/>
        <v>0</v>
      </c>
      <c r="R46" s="9">
        <f t="shared" si="4"/>
        <v>0</v>
      </c>
      <c r="S46" s="1">
        <v>37</v>
      </c>
    </row>
    <row r="47" spans="1:19" ht="30" customHeight="1" thickBot="1" x14ac:dyDescent="0.3">
      <c r="A47" s="1">
        <v>38</v>
      </c>
      <c r="B47" s="94" t="s">
        <v>111</v>
      </c>
      <c r="C47" s="96"/>
      <c r="D47" s="5"/>
      <c r="E47" s="5">
        <v>344362764.41140002</v>
      </c>
      <c r="F47" s="6">
        <f>D47+E47</f>
        <v>344362764.41140002</v>
      </c>
      <c r="G47" s="7">
        <v>0</v>
      </c>
      <c r="H47" s="7">
        <v>0</v>
      </c>
      <c r="I47" s="5">
        <v>0</v>
      </c>
      <c r="J47" s="8">
        <f t="shared" si="1"/>
        <v>344362764.41140002</v>
      </c>
      <c r="K47" s="6">
        <v>7914121.8223999999</v>
      </c>
      <c r="L47" s="6">
        <v>0</v>
      </c>
      <c r="M47" s="13">
        <v>0</v>
      </c>
      <c r="N47" s="13">
        <v>0</v>
      </c>
      <c r="O47" s="13">
        <v>0</v>
      </c>
      <c r="P47" s="13">
        <f t="shared" si="2"/>
        <v>0</v>
      </c>
      <c r="Q47" s="13">
        <f t="shared" si="3"/>
        <v>352276886.23379999</v>
      </c>
      <c r="R47" s="9">
        <f>J47+K47+L47+M47+P47</f>
        <v>352276886.23379999</v>
      </c>
      <c r="S47" s="1">
        <v>38</v>
      </c>
    </row>
    <row r="48" spans="1:19" ht="30" customHeight="1" thickTop="1" thickBot="1" x14ac:dyDescent="0.35">
      <c r="A48" s="1"/>
      <c r="B48" s="119" t="s">
        <v>15</v>
      </c>
      <c r="C48" s="120"/>
      <c r="D48" s="10">
        <f t="shared" ref="D48:R48" si="5">SUM(D10:D47)</f>
        <v>88333583330.04361</v>
      </c>
      <c r="E48" s="10">
        <f t="shared" si="5"/>
        <v>36019118050.6222</v>
      </c>
      <c r="F48" s="10">
        <f t="shared" si="5"/>
        <v>124352701380.6658</v>
      </c>
      <c r="G48" s="10">
        <f t="shared" si="5"/>
        <v>4996692048.3599997</v>
      </c>
      <c r="H48" s="10">
        <f t="shared" si="5"/>
        <v>5423036825.7049999</v>
      </c>
      <c r="I48" s="10">
        <f t="shared" si="5"/>
        <v>15557766881.145004</v>
      </c>
      <c r="J48" s="10">
        <f t="shared" si="5"/>
        <v>98375205625.455841</v>
      </c>
      <c r="K48" s="10">
        <f t="shared" si="5"/>
        <v>3079444513.1662993</v>
      </c>
      <c r="L48" s="10">
        <f t="shared" si="5"/>
        <v>134527628.86109999</v>
      </c>
      <c r="M48" s="10">
        <f t="shared" si="5"/>
        <v>2504040108.6396689</v>
      </c>
      <c r="N48" s="10">
        <f t="shared" si="5"/>
        <v>73156903445.319901</v>
      </c>
      <c r="O48" s="10">
        <f t="shared" si="5"/>
        <v>1000000000</v>
      </c>
      <c r="P48" s="10">
        <f t="shared" si="5"/>
        <v>72156903445.319901</v>
      </c>
      <c r="Q48" s="10">
        <f t="shared" si="5"/>
        <v>203227617076.65274</v>
      </c>
      <c r="R48" s="10">
        <f t="shared" si="5"/>
        <v>176250121321.44275</v>
      </c>
    </row>
    <row r="49" spans="1:18" ht="13.8" thickTop="1" x14ac:dyDescent="0.25">
      <c r="B49" s="70"/>
      <c r="C49" s="71"/>
      <c r="D49" s="72"/>
      <c r="E49" s="73"/>
      <c r="F49" s="71"/>
      <c r="G49" s="71"/>
      <c r="H49" s="72"/>
      <c r="I49" s="72"/>
      <c r="J49" s="74"/>
      <c r="K49" s="75"/>
      <c r="L49" s="73"/>
      <c r="M49" s="76"/>
      <c r="N49" s="76"/>
      <c r="O49" s="76"/>
      <c r="P49" s="76"/>
    </row>
    <row r="50" spans="1:18" x14ac:dyDescent="0.25">
      <c r="B50" s="71"/>
      <c r="C50" s="71"/>
      <c r="D50" s="71"/>
      <c r="E50" s="71"/>
      <c r="F50" s="71"/>
      <c r="G50" s="71"/>
      <c r="H50" s="71"/>
      <c r="I50" s="72"/>
      <c r="J50" s="72"/>
      <c r="K50" s="73"/>
      <c r="L50" s="73"/>
      <c r="M50" s="70"/>
      <c r="N50" s="70"/>
      <c r="O50" s="70"/>
      <c r="P50" s="70"/>
    </row>
    <row r="51" spans="1:18" x14ac:dyDescent="0.25">
      <c r="B51" t="s">
        <v>25</v>
      </c>
      <c r="I51" s="23"/>
      <c r="J51" s="22"/>
      <c r="R51" s="23"/>
    </row>
    <row r="52" spans="1:18" x14ac:dyDescent="0.25">
      <c r="C52" s="14" t="s">
        <v>36</v>
      </c>
      <c r="J52" s="24"/>
    </row>
    <row r="53" spans="1:18" x14ac:dyDescent="0.25">
      <c r="C53" s="14"/>
      <c r="J53" s="23"/>
    </row>
    <row r="56" spans="1:18" ht="21" x14ac:dyDescent="0.4">
      <c r="A56" s="19" t="s">
        <v>33</v>
      </c>
    </row>
  </sheetData>
  <mergeCells count="22">
    <mergeCell ref="O7:O8"/>
    <mergeCell ref="P7:P8"/>
    <mergeCell ref="A1:S1"/>
    <mergeCell ref="N7:N8"/>
    <mergeCell ref="A2:S2"/>
    <mergeCell ref="K7:K8"/>
    <mergeCell ref="A4:R4"/>
    <mergeCell ref="A7:A8"/>
    <mergeCell ref="S7:S8"/>
    <mergeCell ref="D5:R5"/>
    <mergeCell ref="J7:J8"/>
    <mergeCell ref="Q7:Q8"/>
    <mergeCell ref="R7:R8"/>
    <mergeCell ref="L7:L8"/>
    <mergeCell ref="M7:M8"/>
    <mergeCell ref="B48:C48"/>
    <mergeCell ref="G7:I7"/>
    <mergeCell ref="F7:F8"/>
    <mergeCell ref="E7:E8"/>
    <mergeCell ref="D7:D8"/>
    <mergeCell ref="C7:C8"/>
    <mergeCell ref="B7:B8"/>
  </mergeCells>
  <phoneticPr fontId="3" type="noConversion"/>
  <pageMargins left="0.4" right="0.34" top="0.45" bottom="0.17" header="0.51" footer="0.17"/>
  <pageSetup scale="38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7"/>
  <sheetViews>
    <sheetView topLeftCell="A22" workbookViewId="0">
      <selection activeCell="A3" sqref="A3:H43"/>
    </sheetView>
  </sheetViews>
  <sheetFormatPr defaultRowHeight="13.2" x14ac:dyDescent="0.25"/>
  <cols>
    <col min="2" max="2" width="29" customWidth="1"/>
    <col min="4" max="4" width="24.33203125" customWidth="1"/>
    <col min="5" max="5" width="25.5546875" customWidth="1"/>
    <col min="6" max="6" width="23.44140625" customWidth="1"/>
    <col min="7" max="7" width="26.109375" customWidth="1"/>
    <col min="8" max="8" width="8.44140625" customWidth="1"/>
  </cols>
  <sheetData>
    <row r="1" spans="1:8" ht="30" customHeight="1" x14ac:dyDescent="0.45">
      <c r="A1" s="133" t="s">
        <v>114</v>
      </c>
      <c r="B1" s="133"/>
      <c r="C1" s="133"/>
      <c r="D1" s="133"/>
      <c r="E1" s="133"/>
      <c r="F1" s="133"/>
      <c r="G1" s="133"/>
      <c r="H1" s="133"/>
    </row>
    <row r="2" spans="1:8" ht="24.6" x14ac:dyDescent="0.4">
      <c r="A2" s="134" t="s">
        <v>115</v>
      </c>
      <c r="B2" s="135"/>
      <c r="C2" s="135"/>
      <c r="D2" s="135"/>
      <c r="E2" s="135"/>
      <c r="F2" s="135"/>
      <c r="G2" s="135"/>
      <c r="H2" s="136"/>
    </row>
    <row r="3" spans="1:8" ht="48" customHeight="1" x14ac:dyDescent="0.35">
      <c r="A3" s="137" t="s">
        <v>157</v>
      </c>
      <c r="B3" s="138"/>
      <c r="C3" s="138"/>
      <c r="D3" s="138"/>
      <c r="E3" s="138"/>
      <c r="F3" s="138"/>
      <c r="G3" s="138"/>
      <c r="H3" s="139"/>
    </row>
    <row r="4" spans="1:8" ht="18" x14ac:dyDescent="0.35">
      <c r="A4" s="77">
        <v>1</v>
      </c>
      <c r="B4" s="77">
        <v>2</v>
      </c>
      <c r="C4" s="77">
        <v>3</v>
      </c>
      <c r="D4" s="77">
        <v>4</v>
      </c>
      <c r="E4" s="77">
        <v>5</v>
      </c>
      <c r="F4" s="77">
        <v>6</v>
      </c>
      <c r="G4" s="78" t="s">
        <v>155</v>
      </c>
      <c r="H4" s="79"/>
    </row>
    <row r="5" spans="1:8" ht="71.25" customHeight="1" x14ac:dyDescent="0.35">
      <c r="A5" s="80" t="s">
        <v>0</v>
      </c>
      <c r="B5" s="80" t="s">
        <v>20</v>
      </c>
      <c r="C5" s="81" t="s">
        <v>1</v>
      </c>
      <c r="D5" s="82" t="s">
        <v>116</v>
      </c>
      <c r="E5" s="90" t="s">
        <v>156</v>
      </c>
      <c r="F5" s="90" t="s">
        <v>158</v>
      </c>
      <c r="G5" s="81" t="s">
        <v>117</v>
      </c>
      <c r="H5" s="80" t="s">
        <v>0</v>
      </c>
    </row>
    <row r="6" spans="1:8" ht="18" x14ac:dyDescent="0.35">
      <c r="A6" s="83"/>
      <c r="B6" s="83"/>
      <c r="C6" s="83"/>
      <c r="D6" s="84" t="s">
        <v>110</v>
      </c>
      <c r="E6" s="84" t="s">
        <v>110</v>
      </c>
      <c r="F6" s="84" t="s">
        <v>110</v>
      </c>
      <c r="G6" s="84" t="s">
        <v>110</v>
      </c>
      <c r="H6" s="83"/>
    </row>
    <row r="7" spans="1:8" ht="18" x14ac:dyDescent="0.35">
      <c r="A7" s="85">
        <v>1</v>
      </c>
      <c r="B7" s="83" t="s">
        <v>118</v>
      </c>
      <c r="C7" s="85">
        <v>17</v>
      </c>
      <c r="D7" s="93">
        <v>60403867.96381437</v>
      </c>
      <c r="E7" s="83">
        <v>1337241.8799999999</v>
      </c>
      <c r="F7" s="83">
        <v>91992.07</v>
      </c>
      <c r="G7" s="83">
        <f>D7+E7+F7</f>
        <v>61833101.913814373</v>
      </c>
      <c r="H7" s="86">
        <v>1</v>
      </c>
    </row>
    <row r="8" spans="1:8" ht="18" x14ac:dyDescent="0.35">
      <c r="A8" s="85">
        <v>2</v>
      </c>
      <c r="B8" s="83" t="s">
        <v>119</v>
      </c>
      <c r="C8" s="85">
        <v>21</v>
      </c>
      <c r="D8" s="93">
        <v>64259328.078746408</v>
      </c>
      <c r="E8" s="83">
        <v>1422595.4</v>
      </c>
      <c r="F8" s="83">
        <v>97863.74</v>
      </c>
      <c r="G8" s="83">
        <f t="shared" ref="G8:G41" si="0">D8+E8+F8</f>
        <v>65779787.218746409</v>
      </c>
      <c r="H8" s="86">
        <v>2</v>
      </c>
    </row>
    <row r="9" spans="1:8" ht="18" x14ac:dyDescent="0.35">
      <c r="A9" s="85">
        <v>3</v>
      </c>
      <c r="B9" s="83" t="s">
        <v>120</v>
      </c>
      <c r="C9" s="85">
        <v>31</v>
      </c>
      <c r="D9" s="93">
        <v>64856484.964506283</v>
      </c>
      <c r="E9" s="83">
        <v>1435815.47</v>
      </c>
      <c r="F9" s="83">
        <v>98773.18</v>
      </c>
      <c r="G9" s="83">
        <f t="shared" si="0"/>
        <v>66391073.614506282</v>
      </c>
      <c r="H9" s="86">
        <v>3</v>
      </c>
    </row>
    <row r="10" spans="1:8" ht="18" x14ac:dyDescent="0.35">
      <c r="A10" s="85">
        <v>4</v>
      </c>
      <c r="B10" s="83" t="s">
        <v>121</v>
      </c>
      <c r="C10" s="85">
        <v>21</v>
      </c>
      <c r="D10" s="93">
        <v>64138945.792772152</v>
      </c>
      <c r="E10" s="83">
        <v>1419930.34</v>
      </c>
      <c r="F10" s="83">
        <v>97680.41</v>
      </c>
      <c r="G10" s="83">
        <f t="shared" si="0"/>
        <v>65656556.542772152</v>
      </c>
      <c r="H10" s="86">
        <v>4</v>
      </c>
    </row>
    <row r="11" spans="1:8" ht="18" x14ac:dyDescent="0.35">
      <c r="A11" s="85">
        <v>5</v>
      </c>
      <c r="B11" s="83" t="s">
        <v>122</v>
      </c>
      <c r="C11" s="85">
        <v>20</v>
      </c>
      <c r="D11" s="93">
        <v>77161300.695466176</v>
      </c>
      <c r="E11" s="83">
        <v>1708223.77</v>
      </c>
      <c r="F11" s="83">
        <v>117512.8</v>
      </c>
      <c r="G11" s="83">
        <f t="shared" si="0"/>
        <v>78987037.265466169</v>
      </c>
      <c r="H11" s="86">
        <v>5</v>
      </c>
    </row>
    <row r="12" spans="1:8" ht="18" x14ac:dyDescent="0.35">
      <c r="A12" s="85">
        <v>6</v>
      </c>
      <c r="B12" s="83" t="s">
        <v>123</v>
      </c>
      <c r="C12" s="85">
        <v>8</v>
      </c>
      <c r="D12" s="93">
        <v>57077430.784870952</v>
      </c>
      <c r="E12" s="83">
        <v>1263600.06</v>
      </c>
      <c r="F12" s="83">
        <v>86926.07</v>
      </c>
      <c r="G12" s="83">
        <f t="shared" si="0"/>
        <v>58427956.914870955</v>
      </c>
      <c r="H12" s="86">
        <v>6</v>
      </c>
    </row>
    <row r="13" spans="1:8" ht="18" x14ac:dyDescent="0.35">
      <c r="A13" s="85">
        <v>7</v>
      </c>
      <c r="B13" s="83" t="s">
        <v>124</v>
      </c>
      <c r="C13" s="85">
        <v>23</v>
      </c>
      <c r="D13" s="93">
        <f>72343707.4196326</f>
        <v>72343707.419632599</v>
      </c>
      <c r="E13" s="83">
        <f>1601570.21</f>
        <v>1601570.21</v>
      </c>
      <c r="F13" s="83">
        <f>110175.85</f>
        <v>110175.85</v>
      </c>
      <c r="G13" s="83">
        <f>D13+E13+F13</f>
        <v>74055453.479632586</v>
      </c>
      <c r="H13" s="86">
        <v>7</v>
      </c>
    </row>
    <row r="14" spans="1:8" ht="18" x14ac:dyDescent="0.35">
      <c r="A14" s="85">
        <v>8</v>
      </c>
      <c r="B14" s="83" t="s">
        <v>125</v>
      </c>
      <c r="C14" s="85">
        <v>27</v>
      </c>
      <c r="D14" s="93">
        <v>80146459.953743711</v>
      </c>
      <c r="E14" s="83">
        <v>1774310.26</v>
      </c>
      <c r="F14" s="83">
        <v>122059.05</v>
      </c>
      <c r="G14" s="83">
        <f t="shared" si="0"/>
        <v>82042829.263743713</v>
      </c>
      <c r="H14" s="86">
        <v>8</v>
      </c>
    </row>
    <row r="15" spans="1:8" ht="18" x14ac:dyDescent="0.35">
      <c r="A15" s="85">
        <v>9</v>
      </c>
      <c r="B15" s="87" t="s">
        <v>126</v>
      </c>
      <c r="C15" s="85">
        <v>18</v>
      </c>
      <c r="D15" s="93">
        <v>64867545.678128451</v>
      </c>
      <c r="E15" s="83">
        <v>1436060.33</v>
      </c>
      <c r="F15" s="83">
        <v>98790.03</v>
      </c>
      <c r="G15" s="83">
        <f t="shared" si="0"/>
        <v>66402396.038128451</v>
      </c>
      <c r="H15" s="86">
        <v>9</v>
      </c>
    </row>
    <row r="16" spans="1:8" ht="18" x14ac:dyDescent="0.35">
      <c r="A16" s="85">
        <v>10</v>
      </c>
      <c r="B16" s="83" t="s">
        <v>127</v>
      </c>
      <c r="C16" s="85">
        <v>25</v>
      </c>
      <c r="D16" s="93">
        <v>65498121.106410183</v>
      </c>
      <c r="E16" s="83">
        <v>1450020.23</v>
      </c>
      <c r="F16" s="83">
        <v>99750.36</v>
      </c>
      <c r="G16" s="83">
        <f t="shared" si="0"/>
        <v>67047891.696410179</v>
      </c>
      <c r="H16" s="86">
        <v>10</v>
      </c>
    </row>
    <row r="17" spans="1:8" ht="18" x14ac:dyDescent="0.35">
      <c r="A17" s="85">
        <v>11</v>
      </c>
      <c r="B17" s="83" t="s">
        <v>128</v>
      </c>
      <c r="C17" s="85">
        <v>13</v>
      </c>
      <c r="D17" s="93">
        <v>57711166.060537726</v>
      </c>
      <c r="E17" s="83">
        <v>1277629.9099999999</v>
      </c>
      <c r="F17" s="83">
        <v>87891.22</v>
      </c>
      <c r="G17" s="83">
        <f t="shared" si="0"/>
        <v>59076687.190537721</v>
      </c>
      <c r="H17" s="86">
        <v>11</v>
      </c>
    </row>
    <row r="18" spans="1:8" ht="18" x14ac:dyDescent="0.35">
      <c r="A18" s="85">
        <v>12</v>
      </c>
      <c r="B18" s="83" t="s">
        <v>129</v>
      </c>
      <c r="C18" s="85">
        <v>18</v>
      </c>
      <c r="D18" s="93">
        <v>60317417.867828444</v>
      </c>
      <c r="E18" s="83">
        <v>1335328.02</v>
      </c>
      <c r="F18" s="83">
        <v>91860.41</v>
      </c>
      <c r="G18" s="83">
        <f t="shared" si="0"/>
        <v>61744606.297828443</v>
      </c>
      <c r="H18" s="86">
        <v>12</v>
      </c>
    </row>
    <row r="19" spans="1:8" ht="18" x14ac:dyDescent="0.35">
      <c r="A19" s="85">
        <v>13</v>
      </c>
      <c r="B19" s="83" t="s">
        <v>130</v>
      </c>
      <c r="C19" s="85">
        <v>16</v>
      </c>
      <c r="D19" s="93">
        <v>57678599.985855088</v>
      </c>
      <c r="E19" s="83">
        <v>1276908.95</v>
      </c>
      <c r="F19" s="83">
        <v>87841.62</v>
      </c>
      <c r="G19" s="83">
        <f t="shared" si="0"/>
        <v>59043350.555855088</v>
      </c>
      <c r="H19" s="86">
        <v>13</v>
      </c>
    </row>
    <row r="20" spans="1:8" ht="18" x14ac:dyDescent="0.35">
      <c r="A20" s="85">
        <v>14</v>
      </c>
      <c r="B20" s="83" t="s">
        <v>131</v>
      </c>
      <c r="C20" s="85">
        <v>17</v>
      </c>
      <c r="D20" s="93">
        <v>64873144.185289226</v>
      </c>
      <c r="E20" s="83">
        <v>1436184.28</v>
      </c>
      <c r="F20" s="83">
        <v>98798.55</v>
      </c>
      <c r="G20" s="83">
        <f t="shared" si="0"/>
        <v>66408127.015289225</v>
      </c>
      <c r="H20" s="86">
        <v>14</v>
      </c>
    </row>
    <row r="21" spans="1:8" ht="18" x14ac:dyDescent="0.35">
      <c r="A21" s="85">
        <v>15</v>
      </c>
      <c r="B21" s="83" t="s">
        <v>132</v>
      </c>
      <c r="C21" s="85">
        <v>11</v>
      </c>
      <c r="D21" s="93">
        <v>60760824.279558681</v>
      </c>
      <c r="E21" s="83">
        <v>1345144.3</v>
      </c>
      <c r="F21" s="83">
        <v>92535.7</v>
      </c>
      <c r="G21" s="83">
        <f t="shared" si="0"/>
        <v>62198504.279558681</v>
      </c>
      <c r="H21" s="86">
        <v>15</v>
      </c>
    </row>
    <row r="22" spans="1:8" ht="18" x14ac:dyDescent="0.35">
      <c r="A22" s="85">
        <v>16</v>
      </c>
      <c r="B22" s="83" t="s">
        <v>133</v>
      </c>
      <c r="C22" s="85">
        <v>27</v>
      </c>
      <c r="D22" s="93">
        <v>67069279.878467068</v>
      </c>
      <c r="E22" s="83">
        <v>1484803.09</v>
      </c>
      <c r="F22" s="83">
        <v>102143.16</v>
      </c>
      <c r="G22" s="83">
        <f>D22+E22+F22</f>
        <v>68656226.128467068</v>
      </c>
      <c r="H22" s="86">
        <v>16</v>
      </c>
    </row>
    <row r="23" spans="1:8" ht="18" x14ac:dyDescent="0.35">
      <c r="A23" s="85">
        <v>17</v>
      </c>
      <c r="B23" s="83" t="s">
        <v>134</v>
      </c>
      <c r="C23" s="85">
        <v>27</v>
      </c>
      <c r="D23" s="93">
        <v>72139232.138011977</v>
      </c>
      <c r="E23" s="83">
        <v>1597043.46</v>
      </c>
      <c r="F23" s="83">
        <v>109864.44</v>
      </c>
      <c r="G23" s="83">
        <f t="shared" si="0"/>
        <v>73846140.038011968</v>
      </c>
      <c r="H23" s="86">
        <v>17</v>
      </c>
    </row>
    <row r="24" spans="1:8" ht="18" x14ac:dyDescent="0.35">
      <c r="A24" s="85">
        <v>18</v>
      </c>
      <c r="B24" s="83" t="s">
        <v>135</v>
      </c>
      <c r="C24" s="85">
        <v>23</v>
      </c>
      <c r="D24" s="93">
        <v>84519500.995616764</v>
      </c>
      <c r="E24" s="83">
        <v>1871122.17</v>
      </c>
      <c r="F24" s="83">
        <v>128718.97</v>
      </c>
      <c r="G24" s="83">
        <f t="shared" si="0"/>
        <v>86519342.135616764</v>
      </c>
      <c r="H24" s="86">
        <v>18</v>
      </c>
    </row>
    <row r="25" spans="1:8" ht="18" x14ac:dyDescent="0.35">
      <c r="A25" s="85">
        <v>19</v>
      </c>
      <c r="B25" s="83" t="s">
        <v>136</v>
      </c>
      <c r="C25" s="85">
        <v>44</v>
      </c>
      <c r="D25" s="93">
        <v>102320265.50092454</v>
      </c>
      <c r="E25" s="83">
        <v>2265201.7000000002</v>
      </c>
      <c r="F25" s="83">
        <v>155828.65</v>
      </c>
      <c r="G25" s="83">
        <f t="shared" si="0"/>
        <v>104741295.85092455</v>
      </c>
      <c r="H25" s="86">
        <v>19</v>
      </c>
    </row>
    <row r="26" spans="1:8" ht="18" x14ac:dyDescent="0.35">
      <c r="A26" s="85">
        <v>20</v>
      </c>
      <c r="B26" s="83" t="s">
        <v>137</v>
      </c>
      <c r="C26" s="85">
        <v>34</v>
      </c>
      <c r="D26" s="93">
        <v>79295293.733265266</v>
      </c>
      <c r="E26" s="83">
        <v>1755466.85</v>
      </c>
      <c r="F26" s="83">
        <v>120762.77</v>
      </c>
      <c r="G26" s="83">
        <f t="shared" si="0"/>
        <v>81171523.353265256</v>
      </c>
      <c r="H26" s="86">
        <v>20</v>
      </c>
    </row>
    <row r="27" spans="1:8" ht="18" x14ac:dyDescent="0.35">
      <c r="A27" s="85">
        <v>21</v>
      </c>
      <c r="B27" s="83" t="s">
        <v>138</v>
      </c>
      <c r="C27" s="85">
        <v>21</v>
      </c>
      <c r="D27" s="93">
        <f>68115052.9250865</f>
        <v>68115052.925086498</v>
      </c>
      <c r="E27" s="83">
        <f>1507954.78</f>
        <v>1507954.78</v>
      </c>
      <c r="F27" s="83">
        <f>103735.82</f>
        <v>103735.82</v>
      </c>
      <c r="G27" s="83">
        <f t="shared" si="0"/>
        <v>69726743.525086492</v>
      </c>
      <c r="H27" s="86">
        <v>21</v>
      </c>
    </row>
    <row r="28" spans="1:8" ht="18" x14ac:dyDescent="0.35">
      <c r="A28" s="85">
        <v>22</v>
      </c>
      <c r="B28" s="83" t="s">
        <v>139</v>
      </c>
      <c r="C28" s="85">
        <v>21</v>
      </c>
      <c r="D28" s="93">
        <f>71295897.1316174</f>
        <v>71295897.131617397</v>
      </c>
      <c r="E28" s="83">
        <f>1578373.42</f>
        <v>1578373.42</v>
      </c>
      <c r="F28" s="83">
        <f>108580.09</f>
        <v>108580.09</v>
      </c>
      <c r="G28" s="83">
        <f t="shared" si="0"/>
        <v>72982850.641617402</v>
      </c>
      <c r="H28" s="86">
        <v>22</v>
      </c>
    </row>
    <row r="29" spans="1:8" ht="18" x14ac:dyDescent="0.35">
      <c r="A29" s="85">
        <v>23</v>
      </c>
      <c r="B29" s="83" t="s">
        <v>140</v>
      </c>
      <c r="C29" s="85">
        <v>16</v>
      </c>
      <c r="D29" s="93">
        <f>57421446.4960787</f>
        <v>57421446.4960787</v>
      </c>
      <c r="E29" s="83">
        <f>1271216</f>
        <v>1271216</v>
      </c>
      <c r="F29" s="83">
        <f>87449.99</f>
        <v>87449.99</v>
      </c>
      <c r="G29" s="83">
        <f t="shared" si="0"/>
        <v>58780112.486078702</v>
      </c>
      <c r="H29" s="86">
        <v>23</v>
      </c>
    </row>
    <row r="30" spans="1:8" ht="18" x14ac:dyDescent="0.35">
      <c r="A30" s="85">
        <v>24</v>
      </c>
      <c r="B30" s="83" t="s">
        <v>141</v>
      </c>
      <c r="C30" s="85">
        <v>20</v>
      </c>
      <c r="D30" s="93">
        <v>86416102.029909879</v>
      </c>
      <c r="E30" s="83">
        <v>1913109.78</v>
      </c>
      <c r="F30" s="83">
        <v>131607.4</v>
      </c>
      <c r="G30" s="83">
        <f t="shared" si="0"/>
        <v>88460819.209909886</v>
      </c>
      <c r="H30" s="86">
        <v>24</v>
      </c>
    </row>
    <row r="31" spans="1:8" ht="18" x14ac:dyDescent="0.35">
      <c r="A31" s="85">
        <v>25</v>
      </c>
      <c r="B31" s="83" t="s">
        <v>142</v>
      </c>
      <c r="C31" s="85">
        <v>13</v>
      </c>
      <c r="D31" s="93">
        <v>59488741.954544008</v>
      </c>
      <c r="E31" s="83">
        <v>1316982.5</v>
      </c>
      <c r="F31" s="83">
        <v>90598.38</v>
      </c>
      <c r="G31" s="83">
        <f t="shared" si="0"/>
        <v>60896322.83454401</v>
      </c>
      <c r="H31" s="86">
        <v>25</v>
      </c>
    </row>
    <row r="32" spans="1:8" ht="18" x14ac:dyDescent="0.35">
      <c r="A32" s="85">
        <v>26</v>
      </c>
      <c r="B32" s="83" t="s">
        <v>143</v>
      </c>
      <c r="C32" s="85">
        <v>25</v>
      </c>
      <c r="D32" s="93">
        <f>76410640.362861</f>
        <v>76410640.362861007</v>
      </c>
      <c r="E32" s="83">
        <f>1691605.39</f>
        <v>1691605.39</v>
      </c>
      <c r="F32" s="83">
        <f>116369.58</f>
        <v>116369.58</v>
      </c>
      <c r="G32" s="83">
        <f t="shared" si="0"/>
        <v>78218615.332861006</v>
      </c>
      <c r="H32" s="86">
        <v>26</v>
      </c>
    </row>
    <row r="33" spans="1:8" ht="18" x14ac:dyDescent="0.35">
      <c r="A33" s="85">
        <v>27</v>
      </c>
      <c r="B33" s="83" t="s">
        <v>144</v>
      </c>
      <c r="C33" s="85">
        <v>20</v>
      </c>
      <c r="D33" s="93">
        <v>59930564.946006283</v>
      </c>
      <c r="E33" s="83">
        <v>1326763.73</v>
      </c>
      <c r="F33" s="83">
        <v>91271.25</v>
      </c>
      <c r="G33" s="83">
        <f t="shared" si="0"/>
        <v>61348599.92600628</v>
      </c>
      <c r="H33" s="86">
        <v>27</v>
      </c>
    </row>
    <row r="34" spans="1:8" ht="18" x14ac:dyDescent="0.35">
      <c r="A34" s="85">
        <v>28</v>
      </c>
      <c r="B34" s="83" t="s">
        <v>145</v>
      </c>
      <c r="C34" s="85">
        <v>18</v>
      </c>
      <c r="D34" s="93">
        <v>60049294.106990121</v>
      </c>
      <c r="E34" s="83">
        <v>1329392.2</v>
      </c>
      <c r="F34" s="83">
        <v>91452.07</v>
      </c>
      <c r="G34" s="83">
        <f t="shared" si="0"/>
        <v>61470138.376990125</v>
      </c>
      <c r="H34" s="86">
        <v>28</v>
      </c>
    </row>
    <row r="35" spans="1:8" ht="18" x14ac:dyDescent="0.35">
      <c r="A35" s="85">
        <v>29</v>
      </c>
      <c r="B35" s="83" t="s">
        <v>146</v>
      </c>
      <c r="C35" s="85">
        <v>30</v>
      </c>
      <c r="D35" s="93">
        <v>58831918.567652687</v>
      </c>
      <c r="E35" s="83">
        <v>1302441.52</v>
      </c>
      <c r="F35" s="83">
        <v>89598.07</v>
      </c>
      <c r="G35" s="83">
        <f t="shared" si="0"/>
        <v>60223958.157652691</v>
      </c>
      <c r="H35" s="86">
        <v>29</v>
      </c>
    </row>
    <row r="36" spans="1:8" ht="18" x14ac:dyDescent="0.35">
      <c r="A36" s="85">
        <v>30</v>
      </c>
      <c r="B36" s="83" t="s">
        <v>147</v>
      </c>
      <c r="C36" s="85">
        <v>33</v>
      </c>
      <c r="D36" s="93">
        <v>72351700.537788332</v>
      </c>
      <c r="E36" s="83">
        <v>1601747.16</v>
      </c>
      <c r="F36" s="83">
        <v>110188.02</v>
      </c>
      <c r="G36" s="83">
        <f t="shared" si="0"/>
        <v>74063635.717788324</v>
      </c>
      <c r="H36" s="86">
        <v>30</v>
      </c>
    </row>
    <row r="37" spans="1:8" ht="18" x14ac:dyDescent="0.35">
      <c r="A37" s="85">
        <v>31</v>
      </c>
      <c r="B37" s="83" t="s">
        <v>148</v>
      </c>
      <c r="C37" s="85">
        <v>17</v>
      </c>
      <c r="D37" s="93">
        <f>67361817.4704808</f>
        <v>67361817.4704808</v>
      </c>
      <c r="E37" s="83">
        <f>1491279.39</f>
        <v>1491279.39</v>
      </c>
      <c r="F37" s="83">
        <f>102588.68</f>
        <v>102588.68</v>
      </c>
      <c r="G37" s="83">
        <f t="shared" si="0"/>
        <v>68955685.540480807</v>
      </c>
      <c r="H37" s="86">
        <v>31</v>
      </c>
    </row>
    <row r="38" spans="1:8" ht="18" x14ac:dyDescent="0.35">
      <c r="A38" s="85">
        <v>32</v>
      </c>
      <c r="B38" s="83" t="s">
        <v>149</v>
      </c>
      <c r="C38" s="85">
        <v>23</v>
      </c>
      <c r="D38" s="93">
        <v>69568818.066517368</v>
      </c>
      <c r="E38" s="83">
        <v>1540138.74</v>
      </c>
      <c r="F38" s="83">
        <v>105949.83</v>
      </c>
      <c r="G38" s="83">
        <f t="shared" si="0"/>
        <v>71214906.636517361</v>
      </c>
      <c r="H38" s="86">
        <v>32</v>
      </c>
    </row>
    <row r="39" spans="1:8" ht="18" x14ac:dyDescent="0.35">
      <c r="A39" s="85">
        <v>33</v>
      </c>
      <c r="B39" s="83" t="s">
        <v>150</v>
      </c>
      <c r="C39" s="85">
        <v>23</v>
      </c>
      <c r="D39" s="93">
        <v>71093016.417559579</v>
      </c>
      <c r="E39" s="83">
        <v>1573881.97</v>
      </c>
      <c r="F39" s="83">
        <v>108271.11</v>
      </c>
      <c r="G39" s="83">
        <f t="shared" si="0"/>
        <v>72775169.497559577</v>
      </c>
      <c r="H39" s="86">
        <v>33</v>
      </c>
    </row>
    <row r="40" spans="1:8" ht="18" x14ac:dyDescent="0.35">
      <c r="A40" s="85">
        <v>34</v>
      </c>
      <c r="B40" s="83" t="s">
        <v>151</v>
      </c>
      <c r="C40" s="85">
        <v>16</v>
      </c>
      <c r="D40" s="93">
        <v>62138266.680244312</v>
      </c>
      <c r="E40" s="83">
        <v>1375638.6</v>
      </c>
      <c r="F40" s="83">
        <v>94633.47</v>
      </c>
      <c r="G40" s="83">
        <f t="shared" si="0"/>
        <v>63608538.750244312</v>
      </c>
      <c r="H40" s="86">
        <v>34</v>
      </c>
    </row>
    <row r="41" spans="1:8" ht="18" x14ac:dyDescent="0.35">
      <c r="A41" s="85">
        <v>35</v>
      </c>
      <c r="B41" s="83" t="s">
        <v>152</v>
      </c>
      <c r="C41" s="85">
        <v>17</v>
      </c>
      <c r="D41" s="93">
        <v>64056576.289782926</v>
      </c>
      <c r="E41" s="83">
        <v>1418106.18</v>
      </c>
      <c r="F41" s="83">
        <v>97554.96</v>
      </c>
      <c r="G41" s="83">
        <f t="shared" si="0"/>
        <v>65572237.429782927</v>
      </c>
      <c r="H41" s="86">
        <v>35</v>
      </c>
    </row>
    <row r="42" spans="1:8" ht="18" x14ac:dyDescent="0.35">
      <c r="A42" s="85">
        <v>36</v>
      </c>
      <c r="B42" s="83" t="s">
        <v>153</v>
      </c>
      <c r="C42" s="85">
        <v>14</v>
      </c>
      <c r="D42" s="93">
        <v>64192998.093103297</v>
      </c>
      <c r="E42" s="83">
        <v>1421126.96</v>
      </c>
      <c r="F42" s="83">
        <v>97762.73</v>
      </c>
      <c r="G42" s="83">
        <f>D42+E42+F42</f>
        <v>65711887.783103295</v>
      </c>
      <c r="H42" s="86">
        <v>36</v>
      </c>
    </row>
    <row r="43" spans="1:8" ht="18" x14ac:dyDescent="0.35">
      <c r="A43" s="85" t="s">
        <v>160</v>
      </c>
      <c r="B43" s="88" t="s">
        <v>154</v>
      </c>
      <c r="C43" s="83"/>
      <c r="D43" s="89">
        <f>SUM(D7:D42)</f>
        <v>2446160769.1396694</v>
      </c>
      <c r="E43" s="89">
        <f>SUM(E7:E42)</f>
        <v>54153959.000000007</v>
      </c>
      <c r="F43" s="89">
        <f>SUM(F7:F42)</f>
        <v>3725380.4999999995</v>
      </c>
      <c r="G43" s="89">
        <f>SUM(G7:G42)</f>
        <v>2504040108.6396689</v>
      </c>
      <c r="H43" s="86"/>
    </row>
    <row r="44" spans="1:8" ht="18" x14ac:dyDescent="0.35">
      <c r="A44" s="140"/>
      <c r="B44" s="141"/>
      <c r="C44" s="141"/>
      <c r="D44" s="141"/>
      <c r="E44" s="141"/>
      <c r="F44" s="141"/>
      <c r="G44" s="141"/>
      <c r="H44" s="142"/>
    </row>
    <row r="46" spans="1:8" x14ac:dyDescent="0.25">
      <c r="G46" s="24"/>
    </row>
    <row r="47" spans="1:8" x14ac:dyDescent="0.25">
      <c r="G47" s="23"/>
    </row>
  </sheetData>
  <mergeCells count="4">
    <mergeCell ref="A1:H1"/>
    <mergeCell ref="A2:H2"/>
    <mergeCell ref="A3:H3"/>
    <mergeCell ref="A44:H44"/>
  </mergeCells>
  <printOptions horizontalCentered="1" verticalCentered="1"/>
  <pageMargins left="0.70866141732283472" right="0.70866141732283472" top="0.15748031496062992" bottom="0.15748031496062992" header="0.31496062992125984" footer="0.31496062992125984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8"/>
  <sheetViews>
    <sheetView topLeftCell="A24" workbookViewId="0">
      <selection activeCell="E34" sqref="E34"/>
    </sheetView>
  </sheetViews>
  <sheetFormatPr defaultRowHeight="13.2" x14ac:dyDescent="0.25"/>
  <cols>
    <col min="2" max="2" width="24.109375" customWidth="1"/>
    <col min="4" max="4" width="25.5546875" customWidth="1"/>
    <col min="5" max="5" width="25.33203125" customWidth="1"/>
    <col min="6" max="6" width="25.5546875" customWidth="1"/>
    <col min="7" max="7" width="23.44140625" customWidth="1"/>
    <col min="8" max="8" width="24.5546875" customWidth="1"/>
    <col min="9" max="9" width="25" customWidth="1"/>
    <col min="10" max="10" width="30.33203125" customWidth="1"/>
    <col min="11" max="11" width="8.44140625" customWidth="1"/>
    <col min="13" max="13" width="18.6640625" bestFit="1" customWidth="1"/>
    <col min="14" max="14" width="16.5546875" bestFit="1" customWidth="1"/>
    <col min="15" max="15" width="14" bestFit="1" customWidth="1"/>
    <col min="244" max="244" width="24.109375" customWidth="1"/>
    <col min="246" max="246" width="25.5546875" customWidth="1"/>
    <col min="247" max="247" width="25.33203125" customWidth="1"/>
    <col min="248" max="248" width="25.5546875" customWidth="1"/>
    <col min="249" max="251" width="23.44140625" customWidth="1"/>
    <col min="252" max="252" width="24.5546875" customWidth="1"/>
    <col min="253" max="253" width="25" customWidth="1"/>
    <col min="254" max="254" width="30.33203125" customWidth="1"/>
    <col min="255" max="255" width="8.44140625" customWidth="1"/>
    <col min="257" max="257" width="18.6640625" bestFit="1" customWidth="1"/>
    <col min="258" max="258" width="16.5546875" bestFit="1" customWidth="1"/>
    <col min="259" max="259" width="14" bestFit="1" customWidth="1"/>
    <col min="263" max="263" width="20.44140625" bestFit="1" customWidth="1"/>
    <col min="264" max="264" width="18.33203125" bestFit="1" customWidth="1"/>
    <col min="265" max="265" width="17.6640625" customWidth="1"/>
    <col min="267" max="268" width="16.5546875" bestFit="1" customWidth="1"/>
    <col min="269" max="269" width="15" bestFit="1" customWidth="1"/>
    <col min="270" max="270" width="18.33203125" bestFit="1" customWidth="1"/>
    <col min="272" max="272" width="15" bestFit="1" customWidth="1"/>
    <col min="500" max="500" width="24.109375" customWidth="1"/>
    <col min="502" max="502" width="25.5546875" customWidth="1"/>
    <col min="503" max="503" width="25.33203125" customWidth="1"/>
    <col min="504" max="504" width="25.5546875" customWidth="1"/>
    <col min="505" max="507" width="23.44140625" customWidth="1"/>
    <col min="508" max="508" width="24.5546875" customWidth="1"/>
    <col min="509" max="509" width="25" customWidth="1"/>
    <col min="510" max="510" width="30.33203125" customWidth="1"/>
    <col min="511" max="511" width="8.44140625" customWidth="1"/>
    <col min="513" max="513" width="18.6640625" bestFit="1" customWidth="1"/>
    <col min="514" max="514" width="16.5546875" bestFit="1" customWidth="1"/>
    <col min="515" max="515" width="14" bestFit="1" customWidth="1"/>
    <col min="519" max="519" width="20.44140625" bestFit="1" customWidth="1"/>
    <col min="520" max="520" width="18.33203125" bestFit="1" customWidth="1"/>
    <col min="521" max="521" width="17.6640625" customWidth="1"/>
    <col min="523" max="524" width="16.5546875" bestFit="1" customWidth="1"/>
    <col min="525" max="525" width="15" bestFit="1" customWidth="1"/>
    <col min="526" max="526" width="18.33203125" bestFit="1" customWidth="1"/>
    <col min="528" max="528" width="15" bestFit="1" customWidth="1"/>
    <col min="756" max="756" width="24.109375" customWidth="1"/>
    <col min="758" max="758" width="25.5546875" customWidth="1"/>
    <col min="759" max="759" width="25.33203125" customWidth="1"/>
    <col min="760" max="760" width="25.5546875" customWidth="1"/>
    <col min="761" max="763" width="23.44140625" customWidth="1"/>
    <col min="764" max="764" width="24.5546875" customWidth="1"/>
    <col min="765" max="765" width="25" customWidth="1"/>
    <col min="766" max="766" width="30.33203125" customWidth="1"/>
    <col min="767" max="767" width="8.44140625" customWidth="1"/>
    <col min="769" max="769" width="18.6640625" bestFit="1" customWidth="1"/>
    <col min="770" max="770" width="16.5546875" bestFit="1" customWidth="1"/>
    <col min="771" max="771" width="14" bestFit="1" customWidth="1"/>
    <col min="775" max="775" width="20.44140625" bestFit="1" customWidth="1"/>
    <col min="776" max="776" width="18.33203125" bestFit="1" customWidth="1"/>
    <col min="777" max="777" width="17.6640625" customWidth="1"/>
    <col min="779" max="780" width="16.5546875" bestFit="1" customWidth="1"/>
    <col min="781" max="781" width="15" bestFit="1" customWidth="1"/>
    <col min="782" max="782" width="18.33203125" bestFit="1" customWidth="1"/>
    <col min="784" max="784" width="15" bestFit="1" customWidth="1"/>
    <col min="1012" max="1012" width="24.109375" customWidth="1"/>
    <col min="1014" max="1014" width="25.5546875" customWidth="1"/>
    <col min="1015" max="1015" width="25.33203125" customWidth="1"/>
    <col min="1016" max="1016" width="25.5546875" customWidth="1"/>
    <col min="1017" max="1019" width="23.44140625" customWidth="1"/>
    <col min="1020" max="1020" width="24.5546875" customWidth="1"/>
    <col min="1021" max="1021" width="25" customWidth="1"/>
    <col min="1022" max="1022" width="30.33203125" customWidth="1"/>
    <col min="1023" max="1023" width="8.44140625" customWidth="1"/>
    <col min="1025" max="1025" width="18.6640625" bestFit="1" customWidth="1"/>
    <col min="1026" max="1026" width="16.5546875" bestFit="1" customWidth="1"/>
    <col min="1027" max="1027" width="14" bestFit="1" customWidth="1"/>
    <col min="1031" max="1031" width="20.44140625" bestFit="1" customWidth="1"/>
    <col min="1032" max="1032" width="18.33203125" bestFit="1" customWidth="1"/>
    <col min="1033" max="1033" width="17.6640625" customWidth="1"/>
    <col min="1035" max="1036" width="16.5546875" bestFit="1" customWidth="1"/>
    <col min="1037" max="1037" width="15" bestFit="1" customWidth="1"/>
    <col min="1038" max="1038" width="18.33203125" bestFit="1" customWidth="1"/>
    <col min="1040" max="1040" width="15" bestFit="1" customWidth="1"/>
    <col min="1268" max="1268" width="24.109375" customWidth="1"/>
    <col min="1270" max="1270" width="25.5546875" customWidth="1"/>
    <col min="1271" max="1271" width="25.33203125" customWidth="1"/>
    <col min="1272" max="1272" width="25.5546875" customWidth="1"/>
    <col min="1273" max="1275" width="23.44140625" customWidth="1"/>
    <col min="1276" max="1276" width="24.5546875" customWidth="1"/>
    <col min="1277" max="1277" width="25" customWidth="1"/>
    <col min="1278" max="1278" width="30.33203125" customWidth="1"/>
    <col min="1279" max="1279" width="8.44140625" customWidth="1"/>
    <col min="1281" max="1281" width="18.6640625" bestFit="1" customWidth="1"/>
    <col min="1282" max="1282" width="16.5546875" bestFit="1" customWidth="1"/>
    <col min="1283" max="1283" width="14" bestFit="1" customWidth="1"/>
    <col min="1287" max="1287" width="20.44140625" bestFit="1" customWidth="1"/>
    <col min="1288" max="1288" width="18.33203125" bestFit="1" customWidth="1"/>
    <col min="1289" max="1289" width="17.6640625" customWidth="1"/>
    <col min="1291" max="1292" width="16.5546875" bestFit="1" customWidth="1"/>
    <col min="1293" max="1293" width="15" bestFit="1" customWidth="1"/>
    <col min="1294" max="1294" width="18.33203125" bestFit="1" customWidth="1"/>
    <col min="1296" max="1296" width="15" bestFit="1" customWidth="1"/>
    <col min="1524" max="1524" width="24.109375" customWidth="1"/>
    <col min="1526" max="1526" width="25.5546875" customWidth="1"/>
    <col min="1527" max="1527" width="25.33203125" customWidth="1"/>
    <col min="1528" max="1528" width="25.5546875" customWidth="1"/>
    <col min="1529" max="1531" width="23.44140625" customWidth="1"/>
    <col min="1532" max="1532" width="24.5546875" customWidth="1"/>
    <col min="1533" max="1533" width="25" customWidth="1"/>
    <col min="1534" max="1534" width="30.33203125" customWidth="1"/>
    <col min="1535" max="1535" width="8.44140625" customWidth="1"/>
    <col min="1537" max="1537" width="18.6640625" bestFit="1" customWidth="1"/>
    <col min="1538" max="1538" width="16.5546875" bestFit="1" customWidth="1"/>
    <col min="1539" max="1539" width="14" bestFit="1" customWidth="1"/>
    <col min="1543" max="1543" width="20.44140625" bestFit="1" customWidth="1"/>
    <col min="1544" max="1544" width="18.33203125" bestFit="1" customWidth="1"/>
    <col min="1545" max="1545" width="17.6640625" customWidth="1"/>
    <col min="1547" max="1548" width="16.5546875" bestFit="1" customWidth="1"/>
    <col min="1549" max="1549" width="15" bestFit="1" customWidth="1"/>
    <col min="1550" max="1550" width="18.33203125" bestFit="1" customWidth="1"/>
    <col min="1552" max="1552" width="15" bestFit="1" customWidth="1"/>
    <col min="1780" max="1780" width="24.109375" customWidth="1"/>
    <col min="1782" max="1782" width="25.5546875" customWidth="1"/>
    <col min="1783" max="1783" width="25.33203125" customWidth="1"/>
    <col min="1784" max="1784" width="25.5546875" customWidth="1"/>
    <col min="1785" max="1787" width="23.44140625" customWidth="1"/>
    <col min="1788" max="1788" width="24.5546875" customWidth="1"/>
    <col min="1789" max="1789" width="25" customWidth="1"/>
    <col min="1790" max="1790" width="30.33203125" customWidth="1"/>
    <col min="1791" max="1791" width="8.44140625" customWidth="1"/>
    <col min="1793" max="1793" width="18.6640625" bestFit="1" customWidth="1"/>
    <col min="1794" max="1794" width="16.5546875" bestFit="1" customWidth="1"/>
    <col min="1795" max="1795" width="14" bestFit="1" customWidth="1"/>
    <col min="1799" max="1799" width="20.44140625" bestFit="1" customWidth="1"/>
    <col min="1800" max="1800" width="18.33203125" bestFit="1" customWidth="1"/>
    <col min="1801" max="1801" width="17.6640625" customWidth="1"/>
    <col min="1803" max="1804" width="16.5546875" bestFit="1" customWidth="1"/>
    <col min="1805" max="1805" width="15" bestFit="1" customWidth="1"/>
    <col min="1806" max="1806" width="18.33203125" bestFit="1" customWidth="1"/>
    <col min="1808" max="1808" width="15" bestFit="1" customWidth="1"/>
    <col min="2036" max="2036" width="24.109375" customWidth="1"/>
    <col min="2038" max="2038" width="25.5546875" customWidth="1"/>
    <col min="2039" max="2039" width="25.33203125" customWidth="1"/>
    <col min="2040" max="2040" width="25.5546875" customWidth="1"/>
    <col min="2041" max="2043" width="23.44140625" customWidth="1"/>
    <col min="2044" max="2044" width="24.5546875" customWidth="1"/>
    <col min="2045" max="2045" width="25" customWidth="1"/>
    <col min="2046" max="2046" width="30.33203125" customWidth="1"/>
    <col min="2047" max="2047" width="8.44140625" customWidth="1"/>
    <col min="2049" max="2049" width="18.6640625" bestFit="1" customWidth="1"/>
    <col min="2050" max="2050" width="16.5546875" bestFit="1" customWidth="1"/>
    <col min="2051" max="2051" width="14" bestFit="1" customWidth="1"/>
    <col min="2055" max="2055" width="20.44140625" bestFit="1" customWidth="1"/>
    <col min="2056" max="2056" width="18.33203125" bestFit="1" customWidth="1"/>
    <col min="2057" max="2057" width="17.6640625" customWidth="1"/>
    <col min="2059" max="2060" width="16.5546875" bestFit="1" customWidth="1"/>
    <col min="2061" max="2061" width="15" bestFit="1" customWidth="1"/>
    <col min="2062" max="2062" width="18.33203125" bestFit="1" customWidth="1"/>
    <col min="2064" max="2064" width="15" bestFit="1" customWidth="1"/>
    <col min="2292" max="2292" width="24.109375" customWidth="1"/>
    <col min="2294" max="2294" width="25.5546875" customWidth="1"/>
    <col min="2295" max="2295" width="25.33203125" customWidth="1"/>
    <col min="2296" max="2296" width="25.5546875" customWidth="1"/>
    <col min="2297" max="2299" width="23.44140625" customWidth="1"/>
    <col min="2300" max="2300" width="24.5546875" customWidth="1"/>
    <col min="2301" max="2301" width="25" customWidth="1"/>
    <col min="2302" max="2302" width="30.33203125" customWidth="1"/>
    <col min="2303" max="2303" width="8.44140625" customWidth="1"/>
    <col min="2305" max="2305" width="18.6640625" bestFit="1" customWidth="1"/>
    <col min="2306" max="2306" width="16.5546875" bestFit="1" customWidth="1"/>
    <col min="2307" max="2307" width="14" bestFit="1" customWidth="1"/>
    <col min="2311" max="2311" width="20.44140625" bestFit="1" customWidth="1"/>
    <col min="2312" max="2312" width="18.33203125" bestFit="1" customWidth="1"/>
    <col min="2313" max="2313" width="17.6640625" customWidth="1"/>
    <col min="2315" max="2316" width="16.5546875" bestFit="1" customWidth="1"/>
    <col min="2317" max="2317" width="15" bestFit="1" customWidth="1"/>
    <col min="2318" max="2318" width="18.33203125" bestFit="1" customWidth="1"/>
    <col min="2320" max="2320" width="15" bestFit="1" customWidth="1"/>
    <col min="2548" max="2548" width="24.109375" customWidth="1"/>
    <col min="2550" max="2550" width="25.5546875" customWidth="1"/>
    <col min="2551" max="2551" width="25.33203125" customWidth="1"/>
    <col min="2552" max="2552" width="25.5546875" customWidth="1"/>
    <col min="2553" max="2555" width="23.44140625" customWidth="1"/>
    <col min="2556" max="2556" width="24.5546875" customWidth="1"/>
    <col min="2557" max="2557" width="25" customWidth="1"/>
    <col min="2558" max="2558" width="30.33203125" customWidth="1"/>
    <col min="2559" max="2559" width="8.44140625" customWidth="1"/>
    <col min="2561" max="2561" width="18.6640625" bestFit="1" customWidth="1"/>
    <col min="2562" max="2562" width="16.5546875" bestFit="1" customWidth="1"/>
    <col min="2563" max="2563" width="14" bestFit="1" customWidth="1"/>
    <col min="2567" max="2567" width="20.44140625" bestFit="1" customWidth="1"/>
    <col min="2568" max="2568" width="18.33203125" bestFit="1" customWidth="1"/>
    <col min="2569" max="2569" width="17.6640625" customWidth="1"/>
    <col min="2571" max="2572" width="16.5546875" bestFit="1" customWidth="1"/>
    <col min="2573" max="2573" width="15" bestFit="1" customWidth="1"/>
    <col min="2574" max="2574" width="18.33203125" bestFit="1" customWidth="1"/>
    <col min="2576" max="2576" width="15" bestFit="1" customWidth="1"/>
    <col min="2804" max="2804" width="24.109375" customWidth="1"/>
    <col min="2806" max="2806" width="25.5546875" customWidth="1"/>
    <col min="2807" max="2807" width="25.33203125" customWidth="1"/>
    <col min="2808" max="2808" width="25.5546875" customWidth="1"/>
    <col min="2809" max="2811" width="23.44140625" customWidth="1"/>
    <col min="2812" max="2812" width="24.5546875" customWidth="1"/>
    <col min="2813" max="2813" width="25" customWidth="1"/>
    <col min="2814" max="2814" width="30.33203125" customWidth="1"/>
    <col min="2815" max="2815" width="8.44140625" customWidth="1"/>
    <col min="2817" max="2817" width="18.6640625" bestFit="1" customWidth="1"/>
    <col min="2818" max="2818" width="16.5546875" bestFit="1" customWidth="1"/>
    <col min="2819" max="2819" width="14" bestFit="1" customWidth="1"/>
    <col min="2823" max="2823" width="20.44140625" bestFit="1" customWidth="1"/>
    <col min="2824" max="2824" width="18.33203125" bestFit="1" customWidth="1"/>
    <col min="2825" max="2825" width="17.6640625" customWidth="1"/>
    <col min="2827" max="2828" width="16.5546875" bestFit="1" customWidth="1"/>
    <col min="2829" max="2829" width="15" bestFit="1" customWidth="1"/>
    <col min="2830" max="2830" width="18.33203125" bestFit="1" customWidth="1"/>
    <col min="2832" max="2832" width="15" bestFit="1" customWidth="1"/>
    <col min="3060" max="3060" width="24.109375" customWidth="1"/>
    <col min="3062" max="3062" width="25.5546875" customWidth="1"/>
    <col min="3063" max="3063" width="25.33203125" customWidth="1"/>
    <col min="3064" max="3064" width="25.5546875" customWidth="1"/>
    <col min="3065" max="3067" width="23.44140625" customWidth="1"/>
    <col min="3068" max="3068" width="24.5546875" customWidth="1"/>
    <col min="3069" max="3069" width="25" customWidth="1"/>
    <col min="3070" max="3070" width="30.33203125" customWidth="1"/>
    <col min="3071" max="3071" width="8.44140625" customWidth="1"/>
    <col min="3073" max="3073" width="18.6640625" bestFit="1" customWidth="1"/>
    <col min="3074" max="3074" width="16.5546875" bestFit="1" customWidth="1"/>
    <col min="3075" max="3075" width="14" bestFit="1" customWidth="1"/>
    <col min="3079" max="3079" width="20.44140625" bestFit="1" customWidth="1"/>
    <col min="3080" max="3080" width="18.33203125" bestFit="1" customWidth="1"/>
    <col min="3081" max="3081" width="17.6640625" customWidth="1"/>
    <col min="3083" max="3084" width="16.5546875" bestFit="1" customWidth="1"/>
    <col min="3085" max="3085" width="15" bestFit="1" customWidth="1"/>
    <col min="3086" max="3086" width="18.33203125" bestFit="1" customWidth="1"/>
    <col min="3088" max="3088" width="15" bestFit="1" customWidth="1"/>
    <col min="3316" max="3316" width="24.109375" customWidth="1"/>
    <col min="3318" max="3318" width="25.5546875" customWidth="1"/>
    <col min="3319" max="3319" width="25.33203125" customWidth="1"/>
    <col min="3320" max="3320" width="25.5546875" customWidth="1"/>
    <col min="3321" max="3323" width="23.44140625" customWidth="1"/>
    <col min="3324" max="3324" width="24.5546875" customWidth="1"/>
    <col min="3325" max="3325" width="25" customWidth="1"/>
    <col min="3326" max="3326" width="30.33203125" customWidth="1"/>
    <col min="3327" max="3327" width="8.44140625" customWidth="1"/>
    <col min="3329" max="3329" width="18.6640625" bestFit="1" customWidth="1"/>
    <col min="3330" max="3330" width="16.5546875" bestFit="1" customWidth="1"/>
    <col min="3331" max="3331" width="14" bestFit="1" customWidth="1"/>
    <col min="3335" max="3335" width="20.44140625" bestFit="1" customWidth="1"/>
    <col min="3336" max="3336" width="18.33203125" bestFit="1" customWidth="1"/>
    <col min="3337" max="3337" width="17.6640625" customWidth="1"/>
    <col min="3339" max="3340" width="16.5546875" bestFit="1" customWidth="1"/>
    <col min="3341" max="3341" width="15" bestFit="1" customWidth="1"/>
    <col min="3342" max="3342" width="18.33203125" bestFit="1" customWidth="1"/>
    <col min="3344" max="3344" width="15" bestFit="1" customWidth="1"/>
    <col min="3572" max="3572" width="24.109375" customWidth="1"/>
    <col min="3574" max="3574" width="25.5546875" customWidth="1"/>
    <col min="3575" max="3575" width="25.33203125" customWidth="1"/>
    <col min="3576" max="3576" width="25.5546875" customWidth="1"/>
    <col min="3577" max="3579" width="23.44140625" customWidth="1"/>
    <col min="3580" max="3580" width="24.5546875" customWidth="1"/>
    <col min="3581" max="3581" width="25" customWidth="1"/>
    <col min="3582" max="3582" width="30.33203125" customWidth="1"/>
    <col min="3583" max="3583" width="8.44140625" customWidth="1"/>
    <col min="3585" max="3585" width="18.6640625" bestFit="1" customWidth="1"/>
    <col min="3586" max="3586" width="16.5546875" bestFit="1" customWidth="1"/>
    <col min="3587" max="3587" width="14" bestFit="1" customWidth="1"/>
    <col min="3591" max="3591" width="20.44140625" bestFit="1" customWidth="1"/>
    <col min="3592" max="3592" width="18.33203125" bestFit="1" customWidth="1"/>
    <col min="3593" max="3593" width="17.6640625" customWidth="1"/>
    <col min="3595" max="3596" width="16.5546875" bestFit="1" customWidth="1"/>
    <col min="3597" max="3597" width="15" bestFit="1" customWidth="1"/>
    <col min="3598" max="3598" width="18.33203125" bestFit="1" customWidth="1"/>
    <col min="3600" max="3600" width="15" bestFit="1" customWidth="1"/>
    <col min="3828" max="3828" width="24.109375" customWidth="1"/>
    <col min="3830" max="3830" width="25.5546875" customWidth="1"/>
    <col min="3831" max="3831" width="25.33203125" customWidth="1"/>
    <col min="3832" max="3832" width="25.5546875" customWidth="1"/>
    <col min="3833" max="3835" width="23.44140625" customWidth="1"/>
    <col min="3836" max="3836" width="24.5546875" customWidth="1"/>
    <col min="3837" max="3837" width="25" customWidth="1"/>
    <col min="3838" max="3838" width="30.33203125" customWidth="1"/>
    <col min="3839" max="3839" width="8.44140625" customWidth="1"/>
    <col min="3841" max="3841" width="18.6640625" bestFit="1" customWidth="1"/>
    <col min="3842" max="3842" width="16.5546875" bestFit="1" customWidth="1"/>
    <col min="3843" max="3843" width="14" bestFit="1" customWidth="1"/>
    <col min="3847" max="3847" width="20.44140625" bestFit="1" customWidth="1"/>
    <col min="3848" max="3848" width="18.33203125" bestFit="1" customWidth="1"/>
    <col min="3849" max="3849" width="17.6640625" customWidth="1"/>
    <col min="3851" max="3852" width="16.5546875" bestFit="1" customWidth="1"/>
    <col min="3853" max="3853" width="15" bestFit="1" customWidth="1"/>
    <col min="3854" max="3854" width="18.33203125" bestFit="1" customWidth="1"/>
    <col min="3856" max="3856" width="15" bestFit="1" customWidth="1"/>
    <col min="4084" max="4084" width="24.109375" customWidth="1"/>
    <col min="4086" max="4086" width="25.5546875" customWidth="1"/>
    <col min="4087" max="4087" width="25.33203125" customWidth="1"/>
    <col min="4088" max="4088" width="25.5546875" customWidth="1"/>
    <col min="4089" max="4091" width="23.44140625" customWidth="1"/>
    <col min="4092" max="4092" width="24.5546875" customWidth="1"/>
    <col min="4093" max="4093" width="25" customWidth="1"/>
    <col min="4094" max="4094" width="30.33203125" customWidth="1"/>
    <col min="4095" max="4095" width="8.44140625" customWidth="1"/>
    <col min="4097" max="4097" width="18.6640625" bestFit="1" customWidth="1"/>
    <col min="4098" max="4098" width="16.5546875" bestFit="1" customWidth="1"/>
    <col min="4099" max="4099" width="14" bestFit="1" customWidth="1"/>
    <col min="4103" max="4103" width="20.44140625" bestFit="1" customWidth="1"/>
    <col min="4104" max="4104" width="18.33203125" bestFit="1" customWidth="1"/>
    <col min="4105" max="4105" width="17.6640625" customWidth="1"/>
    <col min="4107" max="4108" width="16.5546875" bestFit="1" customWidth="1"/>
    <col min="4109" max="4109" width="15" bestFit="1" customWidth="1"/>
    <col min="4110" max="4110" width="18.33203125" bestFit="1" customWidth="1"/>
    <col min="4112" max="4112" width="15" bestFit="1" customWidth="1"/>
    <col min="4340" max="4340" width="24.109375" customWidth="1"/>
    <col min="4342" max="4342" width="25.5546875" customWidth="1"/>
    <col min="4343" max="4343" width="25.33203125" customWidth="1"/>
    <col min="4344" max="4344" width="25.5546875" customWidth="1"/>
    <col min="4345" max="4347" width="23.44140625" customWidth="1"/>
    <col min="4348" max="4348" width="24.5546875" customWidth="1"/>
    <col min="4349" max="4349" width="25" customWidth="1"/>
    <col min="4350" max="4350" width="30.33203125" customWidth="1"/>
    <col min="4351" max="4351" width="8.44140625" customWidth="1"/>
    <col min="4353" max="4353" width="18.6640625" bestFit="1" customWidth="1"/>
    <col min="4354" max="4354" width="16.5546875" bestFit="1" customWidth="1"/>
    <col min="4355" max="4355" width="14" bestFit="1" customWidth="1"/>
    <col min="4359" max="4359" width="20.44140625" bestFit="1" customWidth="1"/>
    <col min="4360" max="4360" width="18.33203125" bestFit="1" customWidth="1"/>
    <col min="4361" max="4361" width="17.6640625" customWidth="1"/>
    <col min="4363" max="4364" width="16.5546875" bestFit="1" customWidth="1"/>
    <col min="4365" max="4365" width="15" bestFit="1" customWidth="1"/>
    <col min="4366" max="4366" width="18.33203125" bestFit="1" customWidth="1"/>
    <col min="4368" max="4368" width="15" bestFit="1" customWidth="1"/>
    <col min="4596" max="4596" width="24.109375" customWidth="1"/>
    <col min="4598" max="4598" width="25.5546875" customWidth="1"/>
    <col min="4599" max="4599" width="25.33203125" customWidth="1"/>
    <col min="4600" max="4600" width="25.5546875" customWidth="1"/>
    <col min="4601" max="4603" width="23.44140625" customWidth="1"/>
    <col min="4604" max="4604" width="24.5546875" customWidth="1"/>
    <col min="4605" max="4605" width="25" customWidth="1"/>
    <col min="4606" max="4606" width="30.33203125" customWidth="1"/>
    <col min="4607" max="4607" width="8.44140625" customWidth="1"/>
    <col min="4609" max="4609" width="18.6640625" bestFit="1" customWidth="1"/>
    <col min="4610" max="4610" width="16.5546875" bestFit="1" customWidth="1"/>
    <col min="4611" max="4611" width="14" bestFit="1" customWidth="1"/>
    <col min="4615" max="4615" width="20.44140625" bestFit="1" customWidth="1"/>
    <col min="4616" max="4616" width="18.33203125" bestFit="1" customWidth="1"/>
    <col min="4617" max="4617" width="17.6640625" customWidth="1"/>
    <col min="4619" max="4620" width="16.5546875" bestFit="1" customWidth="1"/>
    <col min="4621" max="4621" width="15" bestFit="1" customWidth="1"/>
    <col min="4622" max="4622" width="18.33203125" bestFit="1" customWidth="1"/>
    <col min="4624" max="4624" width="15" bestFit="1" customWidth="1"/>
    <col min="4852" max="4852" width="24.109375" customWidth="1"/>
    <col min="4854" max="4854" width="25.5546875" customWidth="1"/>
    <col min="4855" max="4855" width="25.33203125" customWidth="1"/>
    <col min="4856" max="4856" width="25.5546875" customWidth="1"/>
    <col min="4857" max="4859" width="23.44140625" customWidth="1"/>
    <col min="4860" max="4860" width="24.5546875" customWidth="1"/>
    <col min="4861" max="4861" width="25" customWidth="1"/>
    <col min="4862" max="4862" width="30.33203125" customWidth="1"/>
    <col min="4863" max="4863" width="8.44140625" customWidth="1"/>
    <col min="4865" max="4865" width="18.6640625" bestFit="1" customWidth="1"/>
    <col min="4866" max="4866" width="16.5546875" bestFit="1" customWidth="1"/>
    <col min="4867" max="4867" width="14" bestFit="1" customWidth="1"/>
    <col min="4871" max="4871" width="20.44140625" bestFit="1" customWidth="1"/>
    <col min="4872" max="4872" width="18.33203125" bestFit="1" customWidth="1"/>
    <col min="4873" max="4873" width="17.6640625" customWidth="1"/>
    <col min="4875" max="4876" width="16.5546875" bestFit="1" customWidth="1"/>
    <col min="4877" max="4877" width="15" bestFit="1" customWidth="1"/>
    <col min="4878" max="4878" width="18.33203125" bestFit="1" customWidth="1"/>
    <col min="4880" max="4880" width="15" bestFit="1" customWidth="1"/>
    <col min="5108" max="5108" width="24.109375" customWidth="1"/>
    <col min="5110" max="5110" width="25.5546875" customWidth="1"/>
    <col min="5111" max="5111" width="25.33203125" customWidth="1"/>
    <col min="5112" max="5112" width="25.5546875" customWidth="1"/>
    <col min="5113" max="5115" width="23.44140625" customWidth="1"/>
    <col min="5116" max="5116" width="24.5546875" customWidth="1"/>
    <col min="5117" max="5117" width="25" customWidth="1"/>
    <col min="5118" max="5118" width="30.33203125" customWidth="1"/>
    <col min="5119" max="5119" width="8.44140625" customWidth="1"/>
    <col min="5121" max="5121" width="18.6640625" bestFit="1" customWidth="1"/>
    <col min="5122" max="5122" width="16.5546875" bestFit="1" customWidth="1"/>
    <col min="5123" max="5123" width="14" bestFit="1" customWidth="1"/>
    <col min="5127" max="5127" width="20.44140625" bestFit="1" customWidth="1"/>
    <col min="5128" max="5128" width="18.33203125" bestFit="1" customWidth="1"/>
    <col min="5129" max="5129" width="17.6640625" customWidth="1"/>
    <col min="5131" max="5132" width="16.5546875" bestFit="1" customWidth="1"/>
    <col min="5133" max="5133" width="15" bestFit="1" customWidth="1"/>
    <col min="5134" max="5134" width="18.33203125" bestFit="1" customWidth="1"/>
    <col min="5136" max="5136" width="15" bestFit="1" customWidth="1"/>
    <col min="5364" max="5364" width="24.109375" customWidth="1"/>
    <col min="5366" max="5366" width="25.5546875" customWidth="1"/>
    <col min="5367" max="5367" width="25.33203125" customWidth="1"/>
    <col min="5368" max="5368" width="25.5546875" customWidth="1"/>
    <col min="5369" max="5371" width="23.44140625" customWidth="1"/>
    <col min="5372" max="5372" width="24.5546875" customWidth="1"/>
    <col min="5373" max="5373" width="25" customWidth="1"/>
    <col min="5374" max="5374" width="30.33203125" customWidth="1"/>
    <col min="5375" max="5375" width="8.44140625" customWidth="1"/>
    <col min="5377" max="5377" width="18.6640625" bestFit="1" customWidth="1"/>
    <col min="5378" max="5378" width="16.5546875" bestFit="1" customWidth="1"/>
    <col min="5379" max="5379" width="14" bestFit="1" customWidth="1"/>
    <col min="5383" max="5383" width="20.44140625" bestFit="1" customWidth="1"/>
    <col min="5384" max="5384" width="18.33203125" bestFit="1" customWidth="1"/>
    <col min="5385" max="5385" width="17.6640625" customWidth="1"/>
    <col min="5387" max="5388" width="16.5546875" bestFit="1" customWidth="1"/>
    <col min="5389" max="5389" width="15" bestFit="1" customWidth="1"/>
    <col min="5390" max="5390" width="18.33203125" bestFit="1" customWidth="1"/>
    <col min="5392" max="5392" width="15" bestFit="1" customWidth="1"/>
    <col min="5620" max="5620" width="24.109375" customWidth="1"/>
    <col min="5622" max="5622" width="25.5546875" customWidth="1"/>
    <col min="5623" max="5623" width="25.33203125" customWidth="1"/>
    <col min="5624" max="5624" width="25.5546875" customWidth="1"/>
    <col min="5625" max="5627" width="23.44140625" customWidth="1"/>
    <col min="5628" max="5628" width="24.5546875" customWidth="1"/>
    <col min="5629" max="5629" width="25" customWidth="1"/>
    <col min="5630" max="5630" width="30.33203125" customWidth="1"/>
    <col min="5631" max="5631" width="8.44140625" customWidth="1"/>
    <col min="5633" max="5633" width="18.6640625" bestFit="1" customWidth="1"/>
    <col min="5634" max="5634" width="16.5546875" bestFit="1" customWidth="1"/>
    <col min="5635" max="5635" width="14" bestFit="1" customWidth="1"/>
    <col min="5639" max="5639" width="20.44140625" bestFit="1" customWidth="1"/>
    <col min="5640" max="5640" width="18.33203125" bestFit="1" customWidth="1"/>
    <col min="5641" max="5641" width="17.6640625" customWidth="1"/>
    <col min="5643" max="5644" width="16.5546875" bestFit="1" customWidth="1"/>
    <col min="5645" max="5645" width="15" bestFit="1" customWidth="1"/>
    <col min="5646" max="5646" width="18.33203125" bestFit="1" customWidth="1"/>
    <col min="5648" max="5648" width="15" bestFit="1" customWidth="1"/>
    <col min="5876" max="5876" width="24.109375" customWidth="1"/>
    <col min="5878" max="5878" width="25.5546875" customWidth="1"/>
    <col min="5879" max="5879" width="25.33203125" customWidth="1"/>
    <col min="5880" max="5880" width="25.5546875" customWidth="1"/>
    <col min="5881" max="5883" width="23.44140625" customWidth="1"/>
    <col min="5884" max="5884" width="24.5546875" customWidth="1"/>
    <col min="5885" max="5885" width="25" customWidth="1"/>
    <col min="5886" max="5886" width="30.33203125" customWidth="1"/>
    <col min="5887" max="5887" width="8.44140625" customWidth="1"/>
    <col min="5889" max="5889" width="18.6640625" bestFit="1" customWidth="1"/>
    <col min="5890" max="5890" width="16.5546875" bestFit="1" customWidth="1"/>
    <col min="5891" max="5891" width="14" bestFit="1" customWidth="1"/>
    <col min="5895" max="5895" width="20.44140625" bestFit="1" customWidth="1"/>
    <col min="5896" max="5896" width="18.33203125" bestFit="1" customWidth="1"/>
    <col min="5897" max="5897" width="17.6640625" customWidth="1"/>
    <col min="5899" max="5900" width="16.5546875" bestFit="1" customWidth="1"/>
    <col min="5901" max="5901" width="15" bestFit="1" customWidth="1"/>
    <col min="5902" max="5902" width="18.33203125" bestFit="1" customWidth="1"/>
    <col min="5904" max="5904" width="15" bestFit="1" customWidth="1"/>
    <col min="6132" max="6132" width="24.109375" customWidth="1"/>
    <col min="6134" max="6134" width="25.5546875" customWidth="1"/>
    <col min="6135" max="6135" width="25.33203125" customWidth="1"/>
    <col min="6136" max="6136" width="25.5546875" customWidth="1"/>
    <col min="6137" max="6139" width="23.44140625" customWidth="1"/>
    <col min="6140" max="6140" width="24.5546875" customWidth="1"/>
    <col min="6141" max="6141" width="25" customWidth="1"/>
    <col min="6142" max="6142" width="30.33203125" customWidth="1"/>
    <col min="6143" max="6143" width="8.44140625" customWidth="1"/>
    <col min="6145" max="6145" width="18.6640625" bestFit="1" customWidth="1"/>
    <col min="6146" max="6146" width="16.5546875" bestFit="1" customWidth="1"/>
    <col min="6147" max="6147" width="14" bestFit="1" customWidth="1"/>
    <col min="6151" max="6151" width="20.44140625" bestFit="1" customWidth="1"/>
    <col min="6152" max="6152" width="18.33203125" bestFit="1" customWidth="1"/>
    <col min="6153" max="6153" width="17.6640625" customWidth="1"/>
    <col min="6155" max="6156" width="16.5546875" bestFit="1" customWidth="1"/>
    <col min="6157" max="6157" width="15" bestFit="1" customWidth="1"/>
    <col min="6158" max="6158" width="18.33203125" bestFit="1" customWidth="1"/>
    <col min="6160" max="6160" width="15" bestFit="1" customWidth="1"/>
    <col min="6388" max="6388" width="24.109375" customWidth="1"/>
    <col min="6390" max="6390" width="25.5546875" customWidth="1"/>
    <col min="6391" max="6391" width="25.33203125" customWidth="1"/>
    <col min="6392" max="6392" width="25.5546875" customWidth="1"/>
    <col min="6393" max="6395" width="23.44140625" customWidth="1"/>
    <col min="6396" max="6396" width="24.5546875" customWidth="1"/>
    <col min="6397" max="6397" width="25" customWidth="1"/>
    <col min="6398" max="6398" width="30.33203125" customWidth="1"/>
    <col min="6399" max="6399" width="8.44140625" customWidth="1"/>
    <col min="6401" max="6401" width="18.6640625" bestFit="1" customWidth="1"/>
    <col min="6402" max="6402" width="16.5546875" bestFit="1" customWidth="1"/>
    <col min="6403" max="6403" width="14" bestFit="1" customWidth="1"/>
    <col min="6407" max="6407" width="20.44140625" bestFit="1" customWidth="1"/>
    <col min="6408" max="6408" width="18.33203125" bestFit="1" customWidth="1"/>
    <col min="6409" max="6409" width="17.6640625" customWidth="1"/>
    <col min="6411" max="6412" width="16.5546875" bestFit="1" customWidth="1"/>
    <col min="6413" max="6413" width="15" bestFit="1" customWidth="1"/>
    <col min="6414" max="6414" width="18.33203125" bestFit="1" customWidth="1"/>
    <col min="6416" max="6416" width="15" bestFit="1" customWidth="1"/>
    <col min="6644" max="6644" width="24.109375" customWidth="1"/>
    <col min="6646" max="6646" width="25.5546875" customWidth="1"/>
    <col min="6647" max="6647" width="25.33203125" customWidth="1"/>
    <col min="6648" max="6648" width="25.5546875" customWidth="1"/>
    <col min="6649" max="6651" width="23.44140625" customWidth="1"/>
    <col min="6652" max="6652" width="24.5546875" customWidth="1"/>
    <col min="6653" max="6653" width="25" customWidth="1"/>
    <col min="6654" max="6654" width="30.33203125" customWidth="1"/>
    <col min="6655" max="6655" width="8.44140625" customWidth="1"/>
    <col min="6657" max="6657" width="18.6640625" bestFit="1" customWidth="1"/>
    <col min="6658" max="6658" width="16.5546875" bestFit="1" customWidth="1"/>
    <col min="6659" max="6659" width="14" bestFit="1" customWidth="1"/>
    <col min="6663" max="6663" width="20.44140625" bestFit="1" customWidth="1"/>
    <col min="6664" max="6664" width="18.33203125" bestFit="1" customWidth="1"/>
    <col min="6665" max="6665" width="17.6640625" customWidth="1"/>
    <col min="6667" max="6668" width="16.5546875" bestFit="1" customWidth="1"/>
    <col min="6669" max="6669" width="15" bestFit="1" customWidth="1"/>
    <col min="6670" max="6670" width="18.33203125" bestFit="1" customWidth="1"/>
    <col min="6672" max="6672" width="15" bestFit="1" customWidth="1"/>
    <col min="6900" max="6900" width="24.109375" customWidth="1"/>
    <col min="6902" max="6902" width="25.5546875" customWidth="1"/>
    <col min="6903" max="6903" width="25.33203125" customWidth="1"/>
    <col min="6904" max="6904" width="25.5546875" customWidth="1"/>
    <col min="6905" max="6907" width="23.44140625" customWidth="1"/>
    <col min="6908" max="6908" width="24.5546875" customWidth="1"/>
    <col min="6909" max="6909" width="25" customWidth="1"/>
    <col min="6910" max="6910" width="30.33203125" customWidth="1"/>
    <col min="6911" max="6911" width="8.44140625" customWidth="1"/>
    <col min="6913" max="6913" width="18.6640625" bestFit="1" customWidth="1"/>
    <col min="6914" max="6914" width="16.5546875" bestFit="1" customWidth="1"/>
    <col min="6915" max="6915" width="14" bestFit="1" customWidth="1"/>
    <col min="6919" max="6919" width="20.44140625" bestFit="1" customWidth="1"/>
    <col min="6920" max="6920" width="18.33203125" bestFit="1" customWidth="1"/>
    <col min="6921" max="6921" width="17.6640625" customWidth="1"/>
    <col min="6923" max="6924" width="16.5546875" bestFit="1" customWidth="1"/>
    <col min="6925" max="6925" width="15" bestFit="1" customWidth="1"/>
    <col min="6926" max="6926" width="18.33203125" bestFit="1" customWidth="1"/>
    <col min="6928" max="6928" width="15" bestFit="1" customWidth="1"/>
    <col min="7156" max="7156" width="24.109375" customWidth="1"/>
    <col min="7158" max="7158" width="25.5546875" customWidth="1"/>
    <col min="7159" max="7159" width="25.33203125" customWidth="1"/>
    <col min="7160" max="7160" width="25.5546875" customWidth="1"/>
    <col min="7161" max="7163" width="23.44140625" customWidth="1"/>
    <col min="7164" max="7164" width="24.5546875" customWidth="1"/>
    <col min="7165" max="7165" width="25" customWidth="1"/>
    <col min="7166" max="7166" width="30.33203125" customWidth="1"/>
    <col min="7167" max="7167" width="8.44140625" customWidth="1"/>
    <col min="7169" max="7169" width="18.6640625" bestFit="1" customWidth="1"/>
    <col min="7170" max="7170" width="16.5546875" bestFit="1" customWidth="1"/>
    <col min="7171" max="7171" width="14" bestFit="1" customWidth="1"/>
    <col min="7175" max="7175" width="20.44140625" bestFit="1" customWidth="1"/>
    <col min="7176" max="7176" width="18.33203125" bestFit="1" customWidth="1"/>
    <col min="7177" max="7177" width="17.6640625" customWidth="1"/>
    <col min="7179" max="7180" width="16.5546875" bestFit="1" customWidth="1"/>
    <col min="7181" max="7181" width="15" bestFit="1" customWidth="1"/>
    <col min="7182" max="7182" width="18.33203125" bestFit="1" customWidth="1"/>
    <col min="7184" max="7184" width="15" bestFit="1" customWidth="1"/>
    <col min="7412" max="7412" width="24.109375" customWidth="1"/>
    <col min="7414" max="7414" width="25.5546875" customWidth="1"/>
    <col min="7415" max="7415" width="25.33203125" customWidth="1"/>
    <col min="7416" max="7416" width="25.5546875" customWidth="1"/>
    <col min="7417" max="7419" width="23.44140625" customWidth="1"/>
    <col min="7420" max="7420" width="24.5546875" customWidth="1"/>
    <col min="7421" max="7421" width="25" customWidth="1"/>
    <col min="7422" max="7422" width="30.33203125" customWidth="1"/>
    <col min="7423" max="7423" width="8.44140625" customWidth="1"/>
    <col min="7425" max="7425" width="18.6640625" bestFit="1" customWidth="1"/>
    <col min="7426" max="7426" width="16.5546875" bestFit="1" customWidth="1"/>
    <col min="7427" max="7427" width="14" bestFit="1" customWidth="1"/>
    <col min="7431" max="7431" width="20.44140625" bestFit="1" customWidth="1"/>
    <col min="7432" max="7432" width="18.33203125" bestFit="1" customWidth="1"/>
    <col min="7433" max="7433" width="17.6640625" customWidth="1"/>
    <col min="7435" max="7436" width="16.5546875" bestFit="1" customWidth="1"/>
    <col min="7437" max="7437" width="15" bestFit="1" customWidth="1"/>
    <col min="7438" max="7438" width="18.33203125" bestFit="1" customWidth="1"/>
    <col min="7440" max="7440" width="15" bestFit="1" customWidth="1"/>
    <col min="7668" max="7668" width="24.109375" customWidth="1"/>
    <col min="7670" max="7670" width="25.5546875" customWidth="1"/>
    <col min="7671" max="7671" width="25.33203125" customWidth="1"/>
    <col min="7672" max="7672" width="25.5546875" customWidth="1"/>
    <col min="7673" max="7675" width="23.44140625" customWidth="1"/>
    <col min="7676" max="7676" width="24.5546875" customWidth="1"/>
    <col min="7677" max="7677" width="25" customWidth="1"/>
    <col min="7678" max="7678" width="30.33203125" customWidth="1"/>
    <col min="7679" max="7679" width="8.44140625" customWidth="1"/>
    <col min="7681" max="7681" width="18.6640625" bestFit="1" customWidth="1"/>
    <col min="7682" max="7682" width="16.5546875" bestFit="1" customWidth="1"/>
    <col min="7683" max="7683" width="14" bestFit="1" customWidth="1"/>
    <col min="7687" max="7687" width="20.44140625" bestFit="1" customWidth="1"/>
    <col min="7688" max="7688" width="18.33203125" bestFit="1" customWidth="1"/>
    <col min="7689" max="7689" width="17.6640625" customWidth="1"/>
    <col min="7691" max="7692" width="16.5546875" bestFit="1" customWidth="1"/>
    <col min="7693" max="7693" width="15" bestFit="1" customWidth="1"/>
    <col min="7694" max="7694" width="18.33203125" bestFit="1" customWidth="1"/>
    <col min="7696" max="7696" width="15" bestFit="1" customWidth="1"/>
    <col min="7924" max="7924" width="24.109375" customWidth="1"/>
    <col min="7926" max="7926" width="25.5546875" customWidth="1"/>
    <col min="7927" max="7927" width="25.33203125" customWidth="1"/>
    <col min="7928" max="7928" width="25.5546875" customWidth="1"/>
    <col min="7929" max="7931" width="23.44140625" customWidth="1"/>
    <col min="7932" max="7932" width="24.5546875" customWidth="1"/>
    <col min="7933" max="7933" width="25" customWidth="1"/>
    <col min="7934" max="7934" width="30.33203125" customWidth="1"/>
    <col min="7935" max="7935" width="8.44140625" customWidth="1"/>
    <col min="7937" max="7937" width="18.6640625" bestFit="1" customWidth="1"/>
    <col min="7938" max="7938" width="16.5546875" bestFit="1" customWidth="1"/>
    <col min="7939" max="7939" width="14" bestFit="1" customWidth="1"/>
    <col min="7943" max="7943" width="20.44140625" bestFit="1" customWidth="1"/>
    <col min="7944" max="7944" width="18.33203125" bestFit="1" customWidth="1"/>
    <col min="7945" max="7945" width="17.6640625" customWidth="1"/>
    <col min="7947" max="7948" width="16.5546875" bestFit="1" customWidth="1"/>
    <col min="7949" max="7949" width="15" bestFit="1" customWidth="1"/>
    <col min="7950" max="7950" width="18.33203125" bestFit="1" customWidth="1"/>
    <col min="7952" max="7952" width="15" bestFit="1" customWidth="1"/>
    <col min="8180" max="8180" width="24.109375" customWidth="1"/>
    <col min="8182" max="8182" width="25.5546875" customWidth="1"/>
    <col min="8183" max="8183" width="25.33203125" customWidth="1"/>
    <col min="8184" max="8184" width="25.5546875" customWidth="1"/>
    <col min="8185" max="8187" width="23.44140625" customWidth="1"/>
    <col min="8188" max="8188" width="24.5546875" customWidth="1"/>
    <col min="8189" max="8189" width="25" customWidth="1"/>
    <col min="8190" max="8190" width="30.33203125" customWidth="1"/>
    <col min="8191" max="8191" width="8.44140625" customWidth="1"/>
    <col min="8193" max="8193" width="18.6640625" bestFit="1" customWidth="1"/>
    <col min="8194" max="8194" width="16.5546875" bestFit="1" customWidth="1"/>
    <col min="8195" max="8195" width="14" bestFit="1" customWidth="1"/>
    <col min="8199" max="8199" width="20.44140625" bestFit="1" customWidth="1"/>
    <col min="8200" max="8200" width="18.33203125" bestFit="1" customWidth="1"/>
    <col min="8201" max="8201" width="17.6640625" customWidth="1"/>
    <col min="8203" max="8204" width="16.5546875" bestFit="1" customWidth="1"/>
    <col min="8205" max="8205" width="15" bestFit="1" customWidth="1"/>
    <col min="8206" max="8206" width="18.33203125" bestFit="1" customWidth="1"/>
    <col min="8208" max="8208" width="15" bestFit="1" customWidth="1"/>
    <col min="8436" max="8436" width="24.109375" customWidth="1"/>
    <col min="8438" max="8438" width="25.5546875" customWidth="1"/>
    <col min="8439" max="8439" width="25.33203125" customWidth="1"/>
    <col min="8440" max="8440" width="25.5546875" customWidth="1"/>
    <col min="8441" max="8443" width="23.44140625" customWidth="1"/>
    <col min="8444" max="8444" width="24.5546875" customWidth="1"/>
    <col min="8445" max="8445" width="25" customWidth="1"/>
    <col min="8446" max="8446" width="30.33203125" customWidth="1"/>
    <col min="8447" max="8447" width="8.44140625" customWidth="1"/>
    <col min="8449" max="8449" width="18.6640625" bestFit="1" customWidth="1"/>
    <col min="8450" max="8450" width="16.5546875" bestFit="1" customWidth="1"/>
    <col min="8451" max="8451" width="14" bestFit="1" customWidth="1"/>
    <col min="8455" max="8455" width="20.44140625" bestFit="1" customWidth="1"/>
    <col min="8456" max="8456" width="18.33203125" bestFit="1" customWidth="1"/>
    <col min="8457" max="8457" width="17.6640625" customWidth="1"/>
    <col min="8459" max="8460" width="16.5546875" bestFit="1" customWidth="1"/>
    <col min="8461" max="8461" width="15" bestFit="1" customWidth="1"/>
    <col min="8462" max="8462" width="18.33203125" bestFit="1" customWidth="1"/>
    <col min="8464" max="8464" width="15" bestFit="1" customWidth="1"/>
    <col min="8692" max="8692" width="24.109375" customWidth="1"/>
    <col min="8694" max="8694" width="25.5546875" customWidth="1"/>
    <col min="8695" max="8695" width="25.33203125" customWidth="1"/>
    <col min="8696" max="8696" width="25.5546875" customWidth="1"/>
    <col min="8697" max="8699" width="23.44140625" customWidth="1"/>
    <col min="8700" max="8700" width="24.5546875" customWidth="1"/>
    <col min="8701" max="8701" width="25" customWidth="1"/>
    <col min="8702" max="8702" width="30.33203125" customWidth="1"/>
    <col min="8703" max="8703" width="8.44140625" customWidth="1"/>
    <col min="8705" max="8705" width="18.6640625" bestFit="1" customWidth="1"/>
    <col min="8706" max="8706" width="16.5546875" bestFit="1" customWidth="1"/>
    <col min="8707" max="8707" width="14" bestFit="1" customWidth="1"/>
    <col min="8711" max="8711" width="20.44140625" bestFit="1" customWidth="1"/>
    <col min="8712" max="8712" width="18.33203125" bestFit="1" customWidth="1"/>
    <col min="8713" max="8713" width="17.6640625" customWidth="1"/>
    <col min="8715" max="8716" width="16.5546875" bestFit="1" customWidth="1"/>
    <col min="8717" max="8717" width="15" bestFit="1" customWidth="1"/>
    <col min="8718" max="8718" width="18.33203125" bestFit="1" customWidth="1"/>
    <col min="8720" max="8720" width="15" bestFit="1" customWidth="1"/>
    <col min="8948" max="8948" width="24.109375" customWidth="1"/>
    <col min="8950" max="8950" width="25.5546875" customWidth="1"/>
    <col min="8951" max="8951" width="25.33203125" customWidth="1"/>
    <col min="8952" max="8952" width="25.5546875" customWidth="1"/>
    <col min="8953" max="8955" width="23.44140625" customWidth="1"/>
    <col min="8956" max="8956" width="24.5546875" customWidth="1"/>
    <col min="8957" max="8957" width="25" customWidth="1"/>
    <col min="8958" max="8958" width="30.33203125" customWidth="1"/>
    <col min="8959" max="8959" width="8.44140625" customWidth="1"/>
    <col min="8961" max="8961" width="18.6640625" bestFit="1" customWidth="1"/>
    <col min="8962" max="8962" width="16.5546875" bestFit="1" customWidth="1"/>
    <col min="8963" max="8963" width="14" bestFit="1" customWidth="1"/>
    <col min="8967" max="8967" width="20.44140625" bestFit="1" customWidth="1"/>
    <col min="8968" max="8968" width="18.33203125" bestFit="1" customWidth="1"/>
    <col min="8969" max="8969" width="17.6640625" customWidth="1"/>
    <col min="8971" max="8972" width="16.5546875" bestFit="1" customWidth="1"/>
    <col min="8973" max="8973" width="15" bestFit="1" customWidth="1"/>
    <col min="8974" max="8974" width="18.33203125" bestFit="1" customWidth="1"/>
    <col min="8976" max="8976" width="15" bestFit="1" customWidth="1"/>
    <col min="9204" max="9204" width="24.109375" customWidth="1"/>
    <col min="9206" max="9206" width="25.5546875" customWidth="1"/>
    <col min="9207" max="9207" width="25.33203125" customWidth="1"/>
    <col min="9208" max="9208" width="25.5546875" customWidth="1"/>
    <col min="9209" max="9211" width="23.44140625" customWidth="1"/>
    <col min="9212" max="9212" width="24.5546875" customWidth="1"/>
    <col min="9213" max="9213" width="25" customWidth="1"/>
    <col min="9214" max="9214" width="30.33203125" customWidth="1"/>
    <col min="9215" max="9215" width="8.44140625" customWidth="1"/>
    <col min="9217" max="9217" width="18.6640625" bestFit="1" customWidth="1"/>
    <col min="9218" max="9218" width="16.5546875" bestFit="1" customWidth="1"/>
    <col min="9219" max="9219" width="14" bestFit="1" customWidth="1"/>
    <col min="9223" max="9223" width="20.44140625" bestFit="1" customWidth="1"/>
    <col min="9224" max="9224" width="18.33203125" bestFit="1" customWidth="1"/>
    <col min="9225" max="9225" width="17.6640625" customWidth="1"/>
    <col min="9227" max="9228" width="16.5546875" bestFit="1" customWidth="1"/>
    <col min="9229" max="9229" width="15" bestFit="1" customWidth="1"/>
    <col min="9230" max="9230" width="18.33203125" bestFit="1" customWidth="1"/>
    <col min="9232" max="9232" width="15" bestFit="1" customWidth="1"/>
    <col min="9460" max="9460" width="24.109375" customWidth="1"/>
    <col min="9462" max="9462" width="25.5546875" customWidth="1"/>
    <col min="9463" max="9463" width="25.33203125" customWidth="1"/>
    <col min="9464" max="9464" width="25.5546875" customWidth="1"/>
    <col min="9465" max="9467" width="23.44140625" customWidth="1"/>
    <col min="9468" max="9468" width="24.5546875" customWidth="1"/>
    <col min="9469" max="9469" width="25" customWidth="1"/>
    <col min="9470" max="9470" width="30.33203125" customWidth="1"/>
    <col min="9471" max="9471" width="8.44140625" customWidth="1"/>
    <col min="9473" max="9473" width="18.6640625" bestFit="1" customWidth="1"/>
    <col min="9474" max="9474" width="16.5546875" bestFit="1" customWidth="1"/>
    <col min="9475" max="9475" width="14" bestFit="1" customWidth="1"/>
    <col min="9479" max="9479" width="20.44140625" bestFit="1" customWidth="1"/>
    <col min="9480" max="9480" width="18.33203125" bestFit="1" customWidth="1"/>
    <col min="9481" max="9481" width="17.6640625" customWidth="1"/>
    <col min="9483" max="9484" width="16.5546875" bestFit="1" customWidth="1"/>
    <col min="9485" max="9485" width="15" bestFit="1" customWidth="1"/>
    <col min="9486" max="9486" width="18.33203125" bestFit="1" customWidth="1"/>
    <col min="9488" max="9488" width="15" bestFit="1" customWidth="1"/>
    <col min="9716" max="9716" width="24.109375" customWidth="1"/>
    <col min="9718" max="9718" width="25.5546875" customWidth="1"/>
    <col min="9719" max="9719" width="25.33203125" customWidth="1"/>
    <col min="9720" max="9720" width="25.5546875" customWidth="1"/>
    <col min="9721" max="9723" width="23.44140625" customWidth="1"/>
    <col min="9724" max="9724" width="24.5546875" customWidth="1"/>
    <col min="9725" max="9725" width="25" customWidth="1"/>
    <col min="9726" max="9726" width="30.33203125" customWidth="1"/>
    <col min="9727" max="9727" width="8.44140625" customWidth="1"/>
    <col min="9729" max="9729" width="18.6640625" bestFit="1" customWidth="1"/>
    <col min="9730" max="9730" width="16.5546875" bestFit="1" customWidth="1"/>
    <col min="9731" max="9731" width="14" bestFit="1" customWidth="1"/>
    <col min="9735" max="9735" width="20.44140625" bestFit="1" customWidth="1"/>
    <col min="9736" max="9736" width="18.33203125" bestFit="1" customWidth="1"/>
    <col min="9737" max="9737" width="17.6640625" customWidth="1"/>
    <col min="9739" max="9740" width="16.5546875" bestFit="1" customWidth="1"/>
    <col min="9741" max="9741" width="15" bestFit="1" customWidth="1"/>
    <col min="9742" max="9742" width="18.33203125" bestFit="1" customWidth="1"/>
    <col min="9744" max="9744" width="15" bestFit="1" customWidth="1"/>
    <col min="9972" max="9972" width="24.109375" customWidth="1"/>
    <col min="9974" max="9974" width="25.5546875" customWidth="1"/>
    <col min="9975" max="9975" width="25.33203125" customWidth="1"/>
    <col min="9976" max="9976" width="25.5546875" customWidth="1"/>
    <col min="9977" max="9979" width="23.44140625" customWidth="1"/>
    <col min="9980" max="9980" width="24.5546875" customWidth="1"/>
    <col min="9981" max="9981" width="25" customWidth="1"/>
    <col min="9982" max="9982" width="30.33203125" customWidth="1"/>
    <col min="9983" max="9983" width="8.44140625" customWidth="1"/>
    <col min="9985" max="9985" width="18.6640625" bestFit="1" customWidth="1"/>
    <col min="9986" max="9986" width="16.5546875" bestFit="1" customWidth="1"/>
    <col min="9987" max="9987" width="14" bestFit="1" customWidth="1"/>
    <col min="9991" max="9991" width="20.44140625" bestFit="1" customWidth="1"/>
    <col min="9992" max="9992" width="18.33203125" bestFit="1" customWidth="1"/>
    <col min="9993" max="9993" width="17.6640625" customWidth="1"/>
    <col min="9995" max="9996" width="16.5546875" bestFit="1" customWidth="1"/>
    <col min="9997" max="9997" width="15" bestFit="1" customWidth="1"/>
    <col min="9998" max="9998" width="18.33203125" bestFit="1" customWidth="1"/>
    <col min="10000" max="10000" width="15" bestFit="1" customWidth="1"/>
    <col min="10228" max="10228" width="24.109375" customWidth="1"/>
    <col min="10230" max="10230" width="25.5546875" customWidth="1"/>
    <col min="10231" max="10231" width="25.33203125" customWidth="1"/>
    <col min="10232" max="10232" width="25.5546875" customWidth="1"/>
    <col min="10233" max="10235" width="23.44140625" customWidth="1"/>
    <col min="10236" max="10236" width="24.5546875" customWidth="1"/>
    <col min="10237" max="10237" width="25" customWidth="1"/>
    <col min="10238" max="10238" width="30.33203125" customWidth="1"/>
    <col min="10239" max="10239" width="8.44140625" customWidth="1"/>
    <col min="10241" max="10241" width="18.6640625" bestFit="1" customWidth="1"/>
    <col min="10242" max="10242" width="16.5546875" bestFit="1" customWidth="1"/>
    <col min="10243" max="10243" width="14" bestFit="1" customWidth="1"/>
    <col min="10247" max="10247" width="20.44140625" bestFit="1" customWidth="1"/>
    <col min="10248" max="10248" width="18.33203125" bestFit="1" customWidth="1"/>
    <col min="10249" max="10249" width="17.6640625" customWidth="1"/>
    <col min="10251" max="10252" width="16.5546875" bestFit="1" customWidth="1"/>
    <col min="10253" max="10253" width="15" bestFit="1" customWidth="1"/>
    <col min="10254" max="10254" width="18.33203125" bestFit="1" customWidth="1"/>
    <col min="10256" max="10256" width="15" bestFit="1" customWidth="1"/>
    <col min="10484" max="10484" width="24.109375" customWidth="1"/>
    <col min="10486" max="10486" width="25.5546875" customWidth="1"/>
    <col min="10487" max="10487" width="25.33203125" customWidth="1"/>
    <col min="10488" max="10488" width="25.5546875" customWidth="1"/>
    <col min="10489" max="10491" width="23.44140625" customWidth="1"/>
    <col min="10492" max="10492" width="24.5546875" customWidth="1"/>
    <col min="10493" max="10493" width="25" customWidth="1"/>
    <col min="10494" max="10494" width="30.33203125" customWidth="1"/>
    <col min="10495" max="10495" width="8.44140625" customWidth="1"/>
    <col min="10497" max="10497" width="18.6640625" bestFit="1" customWidth="1"/>
    <col min="10498" max="10498" width="16.5546875" bestFit="1" customWidth="1"/>
    <col min="10499" max="10499" width="14" bestFit="1" customWidth="1"/>
    <col min="10503" max="10503" width="20.44140625" bestFit="1" customWidth="1"/>
    <col min="10504" max="10504" width="18.33203125" bestFit="1" customWidth="1"/>
    <col min="10505" max="10505" width="17.6640625" customWidth="1"/>
    <col min="10507" max="10508" width="16.5546875" bestFit="1" customWidth="1"/>
    <col min="10509" max="10509" width="15" bestFit="1" customWidth="1"/>
    <col min="10510" max="10510" width="18.33203125" bestFit="1" customWidth="1"/>
    <col min="10512" max="10512" width="15" bestFit="1" customWidth="1"/>
    <col min="10740" max="10740" width="24.109375" customWidth="1"/>
    <col min="10742" max="10742" width="25.5546875" customWidth="1"/>
    <col min="10743" max="10743" width="25.33203125" customWidth="1"/>
    <col min="10744" max="10744" width="25.5546875" customWidth="1"/>
    <col min="10745" max="10747" width="23.44140625" customWidth="1"/>
    <col min="10748" max="10748" width="24.5546875" customWidth="1"/>
    <col min="10749" max="10749" width="25" customWidth="1"/>
    <col min="10750" max="10750" width="30.33203125" customWidth="1"/>
    <col min="10751" max="10751" width="8.44140625" customWidth="1"/>
    <col min="10753" max="10753" width="18.6640625" bestFit="1" customWidth="1"/>
    <col min="10754" max="10754" width="16.5546875" bestFit="1" customWidth="1"/>
    <col min="10755" max="10755" width="14" bestFit="1" customWidth="1"/>
    <col min="10759" max="10759" width="20.44140625" bestFit="1" customWidth="1"/>
    <col min="10760" max="10760" width="18.33203125" bestFit="1" customWidth="1"/>
    <col min="10761" max="10761" width="17.6640625" customWidth="1"/>
    <col min="10763" max="10764" width="16.5546875" bestFit="1" customWidth="1"/>
    <col min="10765" max="10765" width="15" bestFit="1" customWidth="1"/>
    <col min="10766" max="10766" width="18.33203125" bestFit="1" customWidth="1"/>
    <col min="10768" max="10768" width="15" bestFit="1" customWidth="1"/>
    <col min="10996" max="10996" width="24.109375" customWidth="1"/>
    <col min="10998" max="10998" width="25.5546875" customWidth="1"/>
    <col min="10999" max="10999" width="25.33203125" customWidth="1"/>
    <col min="11000" max="11000" width="25.5546875" customWidth="1"/>
    <col min="11001" max="11003" width="23.44140625" customWidth="1"/>
    <col min="11004" max="11004" width="24.5546875" customWidth="1"/>
    <col min="11005" max="11005" width="25" customWidth="1"/>
    <col min="11006" max="11006" width="30.33203125" customWidth="1"/>
    <col min="11007" max="11007" width="8.44140625" customWidth="1"/>
    <col min="11009" max="11009" width="18.6640625" bestFit="1" customWidth="1"/>
    <col min="11010" max="11010" width="16.5546875" bestFit="1" customWidth="1"/>
    <col min="11011" max="11011" width="14" bestFit="1" customWidth="1"/>
    <col min="11015" max="11015" width="20.44140625" bestFit="1" customWidth="1"/>
    <col min="11016" max="11016" width="18.33203125" bestFit="1" customWidth="1"/>
    <col min="11017" max="11017" width="17.6640625" customWidth="1"/>
    <col min="11019" max="11020" width="16.5546875" bestFit="1" customWidth="1"/>
    <col min="11021" max="11021" width="15" bestFit="1" customWidth="1"/>
    <col min="11022" max="11022" width="18.33203125" bestFit="1" customWidth="1"/>
    <col min="11024" max="11024" width="15" bestFit="1" customWidth="1"/>
    <col min="11252" max="11252" width="24.109375" customWidth="1"/>
    <col min="11254" max="11254" width="25.5546875" customWidth="1"/>
    <col min="11255" max="11255" width="25.33203125" customWidth="1"/>
    <col min="11256" max="11256" width="25.5546875" customWidth="1"/>
    <col min="11257" max="11259" width="23.44140625" customWidth="1"/>
    <col min="11260" max="11260" width="24.5546875" customWidth="1"/>
    <col min="11261" max="11261" width="25" customWidth="1"/>
    <col min="11262" max="11262" width="30.33203125" customWidth="1"/>
    <col min="11263" max="11263" width="8.44140625" customWidth="1"/>
    <col min="11265" max="11265" width="18.6640625" bestFit="1" customWidth="1"/>
    <col min="11266" max="11266" width="16.5546875" bestFit="1" customWidth="1"/>
    <col min="11267" max="11267" width="14" bestFit="1" customWidth="1"/>
    <col min="11271" max="11271" width="20.44140625" bestFit="1" customWidth="1"/>
    <col min="11272" max="11272" width="18.33203125" bestFit="1" customWidth="1"/>
    <col min="11273" max="11273" width="17.6640625" customWidth="1"/>
    <col min="11275" max="11276" width="16.5546875" bestFit="1" customWidth="1"/>
    <col min="11277" max="11277" width="15" bestFit="1" customWidth="1"/>
    <col min="11278" max="11278" width="18.33203125" bestFit="1" customWidth="1"/>
    <col min="11280" max="11280" width="15" bestFit="1" customWidth="1"/>
    <col min="11508" max="11508" width="24.109375" customWidth="1"/>
    <col min="11510" max="11510" width="25.5546875" customWidth="1"/>
    <col min="11511" max="11511" width="25.33203125" customWidth="1"/>
    <col min="11512" max="11512" width="25.5546875" customWidth="1"/>
    <col min="11513" max="11515" width="23.44140625" customWidth="1"/>
    <col min="11516" max="11516" width="24.5546875" customWidth="1"/>
    <col min="11517" max="11517" width="25" customWidth="1"/>
    <col min="11518" max="11518" width="30.33203125" customWidth="1"/>
    <col min="11519" max="11519" width="8.44140625" customWidth="1"/>
    <col min="11521" max="11521" width="18.6640625" bestFit="1" customWidth="1"/>
    <col min="11522" max="11522" width="16.5546875" bestFit="1" customWidth="1"/>
    <col min="11523" max="11523" width="14" bestFit="1" customWidth="1"/>
    <col min="11527" max="11527" width="20.44140625" bestFit="1" customWidth="1"/>
    <col min="11528" max="11528" width="18.33203125" bestFit="1" customWidth="1"/>
    <col min="11529" max="11529" width="17.6640625" customWidth="1"/>
    <col min="11531" max="11532" width="16.5546875" bestFit="1" customWidth="1"/>
    <col min="11533" max="11533" width="15" bestFit="1" customWidth="1"/>
    <col min="11534" max="11534" width="18.33203125" bestFit="1" customWidth="1"/>
    <col min="11536" max="11536" width="15" bestFit="1" customWidth="1"/>
    <col min="11764" max="11764" width="24.109375" customWidth="1"/>
    <col min="11766" max="11766" width="25.5546875" customWidth="1"/>
    <col min="11767" max="11767" width="25.33203125" customWidth="1"/>
    <col min="11768" max="11768" width="25.5546875" customWidth="1"/>
    <col min="11769" max="11771" width="23.44140625" customWidth="1"/>
    <col min="11772" max="11772" width="24.5546875" customWidth="1"/>
    <col min="11773" max="11773" width="25" customWidth="1"/>
    <col min="11774" max="11774" width="30.33203125" customWidth="1"/>
    <col min="11775" max="11775" width="8.44140625" customWidth="1"/>
    <col min="11777" max="11777" width="18.6640625" bestFit="1" customWidth="1"/>
    <col min="11778" max="11778" width="16.5546875" bestFit="1" customWidth="1"/>
    <col min="11779" max="11779" width="14" bestFit="1" customWidth="1"/>
    <col min="11783" max="11783" width="20.44140625" bestFit="1" customWidth="1"/>
    <col min="11784" max="11784" width="18.33203125" bestFit="1" customWidth="1"/>
    <col min="11785" max="11785" width="17.6640625" customWidth="1"/>
    <col min="11787" max="11788" width="16.5546875" bestFit="1" customWidth="1"/>
    <col min="11789" max="11789" width="15" bestFit="1" customWidth="1"/>
    <col min="11790" max="11790" width="18.33203125" bestFit="1" customWidth="1"/>
    <col min="11792" max="11792" width="15" bestFit="1" customWidth="1"/>
    <col min="12020" max="12020" width="24.109375" customWidth="1"/>
    <col min="12022" max="12022" width="25.5546875" customWidth="1"/>
    <col min="12023" max="12023" width="25.33203125" customWidth="1"/>
    <col min="12024" max="12024" width="25.5546875" customWidth="1"/>
    <col min="12025" max="12027" width="23.44140625" customWidth="1"/>
    <col min="12028" max="12028" width="24.5546875" customWidth="1"/>
    <col min="12029" max="12029" width="25" customWidth="1"/>
    <col min="12030" max="12030" width="30.33203125" customWidth="1"/>
    <col min="12031" max="12031" width="8.44140625" customWidth="1"/>
    <col min="12033" max="12033" width="18.6640625" bestFit="1" customWidth="1"/>
    <col min="12034" max="12034" width="16.5546875" bestFit="1" customWidth="1"/>
    <col min="12035" max="12035" width="14" bestFit="1" customWidth="1"/>
    <col min="12039" max="12039" width="20.44140625" bestFit="1" customWidth="1"/>
    <col min="12040" max="12040" width="18.33203125" bestFit="1" customWidth="1"/>
    <col min="12041" max="12041" width="17.6640625" customWidth="1"/>
    <col min="12043" max="12044" width="16.5546875" bestFit="1" customWidth="1"/>
    <col min="12045" max="12045" width="15" bestFit="1" customWidth="1"/>
    <col min="12046" max="12046" width="18.33203125" bestFit="1" customWidth="1"/>
    <col min="12048" max="12048" width="15" bestFit="1" customWidth="1"/>
    <col min="12276" max="12276" width="24.109375" customWidth="1"/>
    <col min="12278" max="12278" width="25.5546875" customWidth="1"/>
    <col min="12279" max="12279" width="25.33203125" customWidth="1"/>
    <col min="12280" max="12280" width="25.5546875" customWidth="1"/>
    <col min="12281" max="12283" width="23.44140625" customWidth="1"/>
    <col min="12284" max="12284" width="24.5546875" customWidth="1"/>
    <col min="12285" max="12285" width="25" customWidth="1"/>
    <col min="12286" max="12286" width="30.33203125" customWidth="1"/>
    <col min="12287" max="12287" width="8.44140625" customWidth="1"/>
    <col min="12289" max="12289" width="18.6640625" bestFit="1" customWidth="1"/>
    <col min="12290" max="12290" width="16.5546875" bestFit="1" customWidth="1"/>
    <col min="12291" max="12291" width="14" bestFit="1" customWidth="1"/>
    <col min="12295" max="12295" width="20.44140625" bestFit="1" customWidth="1"/>
    <col min="12296" max="12296" width="18.33203125" bestFit="1" customWidth="1"/>
    <col min="12297" max="12297" width="17.6640625" customWidth="1"/>
    <col min="12299" max="12300" width="16.5546875" bestFit="1" customWidth="1"/>
    <col min="12301" max="12301" width="15" bestFit="1" customWidth="1"/>
    <col min="12302" max="12302" width="18.33203125" bestFit="1" customWidth="1"/>
    <col min="12304" max="12304" width="15" bestFit="1" customWidth="1"/>
    <col min="12532" max="12532" width="24.109375" customWidth="1"/>
    <col min="12534" max="12534" width="25.5546875" customWidth="1"/>
    <col min="12535" max="12535" width="25.33203125" customWidth="1"/>
    <col min="12536" max="12536" width="25.5546875" customWidth="1"/>
    <col min="12537" max="12539" width="23.44140625" customWidth="1"/>
    <col min="12540" max="12540" width="24.5546875" customWidth="1"/>
    <col min="12541" max="12541" width="25" customWidth="1"/>
    <col min="12542" max="12542" width="30.33203125" customWidth="1"/>
    <col min="12543" max="12543" width="8.44140625" customWidth="1"/>
    <col min="12545" max="12545" width="18.6640625" bestFit="1" customWidth="1"/>
    <col min="12546" max="12546" width="16.5546875" bestFit="1" customWidth="1"/>
    <col min="12547" max="12547" width="14" bestFit="1" customWidth="1"/>
    <col min="12551" max="12551" width="20.44140625" bestFit="1" customWidth="1"/>
    <col min="12552" max="12552" width="18.33203125" bestFit="1" customWidth="1"/>
    <col min="12553" max="12553" width="17.6640625" customWidth="1"/>
    <col min="12555" max="12556" width="16.5546875" bestFit="1" customWidth="1"/>
    <col min="12557" max="12557" width="15" bestFit="1" customWidth="1"/>
    <col min="12558" max="12558" width="18.33203125" bestFit="1" customWidth="1"/>
    <col min="12560" max="12560" width="15" bestFit="1" customWidth="1"/>
    <col min="12788" max="12788" width="24.109375" customWidth="1"/>
    <col min="12790" max="12790" width="25.5546875" customWidth="1"/>
    <col min="12791" max="12791" width="25.33203125" customWidth="1"/>
    <col min="12792" max="12792" width="25.5546875" customWidth="1"/>
    <col min="12793" max="12795" width="23.44140625" customWidth="1"/>
    <col min="12796" max="12796" width="24.5546875" customWidth="1"/>
    <col min="12797" max="12797" width="25" customWidth="1"/>
    <col min="12798" max="12798" width="30.33203125" customWidth="1"/>
    <col min="12799" max="12799" width="8.44140625" customWidth="1"/>
    <col min="12801" max="12801" width="18.6640625" bestFit="1" customWidth="1"/>
    <col min="12802" max="12802" width="16.5546875" bestFit="1" customWidth="1"/>
    <col min="12803" max="12803" width="14" bestFit="1" customWidth="1"/>
    <col min="12807" max="12807" width="20.44140625" bestFit="1" customWidth="1"/>
    <col min="12808" max="12808" width="18.33203125" bestFit="1" customWidth="1"/>
    <col min="12809" max="12809" width="17.6640625" customWidth="1"/>
    <col min="12811" max="12812" width="16.5546875" bestFit="1" customWidth="1"/>
    <col min="12813" max="12813" width="15" bestFit="1" customWidth="1"/>
    <col min="12814" max="12814" width="18.33203125" bestFit="1" customWidth="1"/>
    <col min="12816" max="12816" width="15" bestFit="1" customWidth="1"/>
    <col min="13044" max="13044" width="24.109375" customWidth="1"/>
    <col min="13046" max="13046" width="25.5546875" customWidth="1"/>
    <col min="13047" max="13047" width="25.33203125" customWidth="1"/>
    <col min="13048" max="13048" width="25.5546875" customWidth="1"/>
    <col min="13049" max="13051" width="23.44140625" customWidth="1"/>
    <col min="13052" max="13052" width="24.5546875" customWidth="1"/>
    <col min="13053" max="13053" width="25" customWidth="1"/>
    <col min="13054" max="13054" width="30.33203125" customWidth="1"/>
    <col min="13055" max="13055" width="8.44140625" customWidth="1"/>
    <col min="13057" max="13057" width="18.6640625" bestFit="1" customWidth="1"/>
    <col min="13058" max="13058" width="16.5546875" bestFit="1" customWidth="1"/>
    <col min="13059" max="13059" width="14" bestFit="1" customWidth="1"/>
    <col min="13063" max="13063" width="20.44140625" bestFit="1" customWidth="1"/>
    <col min="13064" max="13064" width="18.33203125" bestFit="1" customWidth="1"/>
    <col min="13065" max="13065" width="17.6640625" customWidth="1"/>
    <col min="13067" max="13068" width="16.5546875" bestFit="1" customWidth="1"/>
    <col min="13069" max="13069" width="15" bestFit="1" customWidth="1"/>
    <col min="13070" max="13070" width="18.33203125" bestFit="1" customWidth="1"/>
    <col min="13072" max="13072" width="15" bestFit="1" customWidth="1"/>
    <col min="13300" max="13300" width="24.109375" customWidth="1"/>
    <col min="13302" max="13302" width="25.5546875" customWidth="1"/>
    <col min="13303" max="13303" width="25.33203125" customWidth="1"/>
    <col min="13304" max="13304" width="25.5546875" customWidth="1"/>
    <col min="13305" max="13307" width="23.44140625" customWidth="1"/>
    <col min="13308" max="13308" width="24.5546875" customWidth="1"/>
    <col min="13309" max="13309" width="25" customWidth="1"/>
    <col min="13310" max="13310" width="30.33203125" customWidth="1"/>
    <col min="13311" max="13311" width="8.44140625" customWidth="1"/>
    <col min="13313" max="13313" width="18.6640625" bestFit="1" customWidth="1"/>
    <col min="13314" max="13314" width="16.5546875" bestFit="1" customWidth="1"/>
    <col min="13315" max="13315" width="14" bestFit="1" customWidth="1"/>
    <col min="13319" max="13319" width="20.44140625" bestFit="1" customWidth="1"/>
    <col min="13320" max="13320" width="18.33203125" bestFit="1" customWidth="1"/>
    <col min="13321" max="13321" width="17.6640625" customWidth="1"/>
    <col min="13323" max="13324" width="16.5546875" bestFit="1" customWidth="1"/>
    <col min="13325" max="13325" width="15" bestFit="1" customWidth="1"/>
    <col min="13326" max="13326" width="18.33203125" bestFit="1" customWidth="1"/>
    <col min="13328" max="13328" width="15" bestFit="1" customWidth="1"/>
    <col min="13556" max="13556" width="24.109375" customWidth="1"/>
    <col min="13558" max="13558" width="25.5546875" customWidth="1"/>
    <col min="13559" max="13559" width="25.33203125" customWidth="1"/>
    <col min="13560" max="13560" width="25.5546875" customWidth="1"/>
    <col min="13561" max="13563" width="23.44140625" customWidth="1"/>
    <col min="13564" max="13564" width="24.5546875" customWidth="1"/>
    <col min="13565" max="13565" width="25" customWidth="1"/>
    <col min="13566" max="13566" width="30.33203125" customWidth="1"/>
    <col min="13567" max="13567" width="8.44140625" customWidth="1"/>
    <col min="13569" max="13569" width="18.6640625" bestFit="1" customWidth="1"/>
    <col min="13570" max="13570" width="16.5546875" bestFit="1" customWidth="1"/>
    <col min="13571" max="13571" width="14" bestFit="1" customWidth="1"/>
    <col min="13575" max="13575" width="20.44140625" bestFit="1" customWidth="1"/>
    <col min="13576" max="13576" width="18.33203125" bestFit="1" customWidth="1"/>
    <col min="13577" max="13577" width="17.6640625" customWidth="1"/>
    <col min="13579" max="13580" width="16.5546875" bestFit="1" customWidth="1"/>
    <col min="13581" max="13581" width="15" bestFit="1" customWidth="1"/>
    <col min="13582" max="13582" width="18.33203125" bestFit="1" customWidth="1"/>
    <col min="13584" max="13584" width="15" bestFit="1" customWidth="1"/>
    <col min="13812" max="13812" width="24.109375" customWidth="1"/>
    <col min="13814" max="13814" width="25.5546875" customWidth="1"/>
    <col min="13815" max="13815" width="25.33203125" customWidth="1"/>
    <col min="13816" max="13816" width="25.5546875" customWidth="1"/>
    <col min="13817" max="13819" width="23.44140625" customWidth="1"/>
    <col min="13820" max="13820" width="24.5546875" customWidth="1"/>
    <col min="13821" max="13821" width="25" customWidth="1"/>
    <col min="13822" max="13822" width="30.33203125" customWidth="1"/>
    <col min="13823" max="13823" width="8.44140625" customWidth="1"/>
    <col min="13825" max="13825" width="18.6640625" bestFit="1" customWidth="1"/>
    <col min="13826" max="13826" width="16.5546875" bestFit="1" customWidth="1"/>
    <col min="13827" max="13827" width="14" bestFit="1" customWidth="1"/>
    <col min="13831" max="13831" width="20.44140625" bestFit="1" customWidth="1"/>
    <col min="13832" max="13832" width="18.33203125" bestFit="1" customWidth="1"/>
    <col min="13833" max="13833" width="17.6640625" customWidth="1"/>
    <col min="13835" max="13836" width="16.5546875" bestFit="1" customWidth="1"/>
    <col min="13837" max="13837" width="15" bestFit="1" customWidth="1"/>
    <col min="13838" max="13838" width="18.33203125" bestFit="1" customWidth="1"/>
    <col min="13840" max="13840" width="15" bestFit="1" customWidth="1"/>
    <col min="14068" max="14068" width="24.109375" customWidth="1"/>
    <col min="14070" max="14070" width="25.5546875" customWidth="1"/>
    <col min="14071" max="14071" width="25.33203125" customWidth="1"/>
    <col min="14072" max="14072" width="25.5546875" customWidth="1"/>
    <col min="14073" max="14075" width="23.44140625" customWidth="1"/>
    <col min="14076" max="14076" width="24.5546875" customWidth="1"/>
    <col min="14077" max="14077" width="25" customWidth="1"/>
    <col min="14078" max="14078" width="30.33203125" customWidth="1"/>
    <col min="14079" max="14079" width="8.44140625" customWidth="1"/>
    <col min="14081" max="14081" width="18.6640625" bestFit="1" customWidth="1"/>
    <col min="14082" max="14082" width="16.5546875" bestFit="1" customWidth="1"/>
    <col min="14083" max="14083" width="14" bestFit="1" customWidth="1"/>
    <col min="14087" max="14087" width="20.44140625" bestFit="1" customWidth="1"/>
    <col min="14088" max="14088" width="18.33203125" bestFit="1" customWidth="1"/>
    <col min="14089" max="14089" width="17.6640625" customWidth="1"/>
    <col min="14091" max="14092" width="16.5546875" bestFit="1" customWidth="1"/>
    <col min="14093" max="14093" width="15" bestFit="1" customWidth="1"/>
    <col min="14094" max="14094" width="18.33203125" bestFit="1" customWidth="1"/>
    <col min="14096" max="14096" width="15" bestFit="1" customWidth="1"/>
    <col min="14324" max="14324" width="24.109375" customWidth="1"/>
    <col min="14326" max="14326" width="25.5546875" customWidth="1"/>
    <col min="14327" max="14327" width="25.33203125" customWidth="1"/>
    <col min="14328" max="14328" width="25.5546875" customWidth="1"/>
    <col min="14329" max="14331" width="23.44140625" customWidth="1"/>
    <col min="14332" max="14332" width="24.5546875" customWidth="1"/>
    <col min="14333" max="14333" width="25" customWidth="1"/>
    <col min="14334" max="14334" width="30.33203125" customWidth="1"/>
    <col min="14335" max="14335" width="8.44140625" customWidth="1"/>
    <col min="14337" max="14337" width="18.6640625" bestFit="1" customWidth="1"/>
    <col min="14338" max="14338" width="16.5546875" bestFit="1" customWidth="1"/>
    <col min="14339" max="14339" width="14" bestFit="1" customWidth="1"/>
    <col min="14343" max="14343" width="20.44140625" bestFit="1" customWidth="1"/>
    <col min="14344" max="14344" width="18.33203125" bestFit="1" customWidth="1"/>
    <col min="14345" max="14345" width="17.6640625" customWidth="1"/>
    <col min="14347" max="14348" width="16.5546875" bestFit="1" customWidth="1"/>
    <col min="14349" max="14349" width="15" bestFit="1" customWidth="1"/>
    <col min="14350" max="14350" width="18.33203125" bestFit="1" customWidth="1"/>
    <col min="14352" max="14352" width="15" bestFit="1" customWidth="1"/>
    <col min="14580" max="14580" width="24.109375" customWidth="1"/>
    <col min="14582" max="14582" width="25.5546875" customWidth="1"/>
    <col min="14583" max="14583" width="25.33203125" customWidth="1"/>
    <col min="14584" max="14584" width="25.5546875" customWidth="1"/>
    <col min="14585" max="14587" width="23.44140625" customWidth="1"/>
    <col min="14588" max="14588" width="24.5546875" customWidth="1"/>
    <col min="14589" max="14589" width="25" customWidth="1"/>
    <col min="14590" max="14590" width="30.33203125" customWidth="1"/>
    <col min="14591" max="14591" width="8.44140625" customWidth="1"/>
    <col min="14593" max="14593" width="18.6640625" bestFit="1" customWidth="1"/>
    <col min="14594" max="14594" width="16.5546875" bestFit="1" customWidth="1"/>
    <col min="14595" max="14595" width="14" bestFit="1" customWidth="1"/>
    <col min="14599" max="14599" width="20.44140625" bestFit="1" customWidth="1"/>
    <col min="14600" max="14600" width="18.33203125" bestFit="1" customWidth="1"/>
    <col min="14601" max="14601" width="17.6640625" customWidth="1"/>
    <col min="14603" max="14604" width="16.5546875" bestFit="1" customWidth="1"/>
    <col min="14605" max="14605" width="15" bestFit="1" customWidth="1"/>
    <col min="14606" max="14606" width="18.33203125" bestFit="1" customWidth="1"/>
    <col min="14608" max="14608" width="15" bestFit="1" customWidth="1"/>
    <col min="14836" max="14836" width="24.109375" customWidth="1"/>
    <col min="14838" max="14838" width="25.5546875" customWidth="1"/>
    <col min="14839" max="14839" width="25.33203125" customWidth="1"/>
    <col min="14840" max="14840" width="25.5546875" customWidth="1"/>
    <col min="14841" max="14843" width="23.44140625" customWidth="1"/>
    <col min="14844" max="14844" width="24.5546875" customWidth="1"/>
    <col min="14845" max="14845" width="25" customWidth="1"/>
    <col min="14846" max="14846" width="30.33203125" customWidth="1"/>
    <col min="14847" max="14847" width="8.44140625" customWidth="1"/>
    <col min="14849" max="14849" width="18.6640625" bestFit="1" customWidth="1"/>
    <col min="14850" max="14850" width="16.5546875" bestFit="1" customWidth="1"/>
    <col min="14851" max="14851" width="14" bestFit="1" customWidth="1"/>
    <col min="14855" max="14855" width="20.44140625" bestFit="1" customWidth="1"/>
    <col min="14856" max="14856" width="18.33203125" bestFit="1" customWidth="1"/>
    <col min="14857" max="14857" width="17.6640625" customWidth="1"/>
    <col min="14859" max="14860" width="16.5546875" bestFit="1" customWidth="1"/>
    <col min="14861" max="14861" width="15" bestFit="1" customWidth="1"/>
    <col min="14862" max="14862" width="18.33203125" bestFit="1" customWidth="1"/>
    <col min="14864" max="14864" width="15" bestFit="1" customWidth="1"/>
    <col min="15092" max="15092" width="24.109375" customWidth="1"/>
    <col min="15094" max="15094" width="25.5546875" customWidth="1"/>
    <col min="15095" max="15095" width="25.33203125" customWidth="1"/>
    <col min="15096" max="15096" width="25.5546875" customWidth="1"/>
    <col min="15097" max="15099" width="23.44140625" customWidth="1"/>
    <col min="15100" max="15100" width="24.5546875" customWidth="1"/>
    <col min="15101" max="15101" width="25" customWidth="1"/>
    <col min="15102" max="15102" width="30.33203125" customWidth="1"/>
    <col min="15103" max="15103" width="8.44140625" customWidth="1"/>
    <col min="15105" max="15105" width="18.6640625" bestFit="1" customWidth="1"/>
    <col min="15106" max="15106" width="16.5546875" bestFit="1" customWidth="1"/>
    <col min="15107" max="15107" width="14" bestFit="1" customWidth="1"/>
    <col min="15111" max="15111" width="20.44140625" bestFit="1" customWidth="1"/>
    <col min="15112" max="15112" width="18.33203125" bestFit="1" customWidth="1"/>
    <col min="15113" max="15113" width="17.6640625" customWidth="1"/>
    <col min="15115" max="15116" width="16.5546875" bestFit="1" customWidth="1"/>
    <col min="15117" max="15117" width="15" bestFit="1" customWidth="1"/>
    <col min="15118" max="15118" width="18.33203125" bestFit="1" customWidth="1"/>
    <col min="15120" max="15120" width="15" bestFit="1" customWidth="1"/>
    <col min="15348" max="15348" width="24.109375" customWidth="1"/>
    <col min="15350" max="15350" width="25.5546875" customWidth="1"/>
    <col min="15351" max="15351" width="25.33203125" customWidth="1"/>
    <col min="15352" max="15352" width="25.5546875" customWidth="1"/>
    <col min="15353" max="15355" width="23.44140625" customWidth="1"/>
    <col min="15356" max="15356" width="24.5546875" customWidth="1"/>
    <col min="15357" max="15357" width="25" customWidth="1"/>
    <col min="15358" max="15358" width="30.33203125" customWidth="1"/>
    <col min="15359" max="15359" width="8.44140625" customWidth="1"/>
    <col min="15361" max="15361" width="18.6640625" bestFit="1" customWidth="1"/>
    <col min="15362" max="15362" width="16.5546875" bestFit="1" customWidth="1"/>
    <col min="15363" max="15363" width="14" bestFit="1" customWidth="1"/>
    <col min="15367" max="15367" width="20.44140625" bestFit="1" customWidth="1"/>
    <col min="15368" max="15368" width="18.33203125" bestFit="1" customWidth="1"/>
    <col min="15369" max="15369" width="17.6640625" customWidth="1"/>
    <col min="15371" max="15372" width="16.5546875" bestFit="1" customWidth="1"/>
    <col min="15373" max="15373" width="15" bestFit="1" customWidth="1"/>
    <col min="15374" max="15374" width="18.33203125" bestFit="1" customWidth="1"/>
    <col min="15376" max="15376" width="15" bestFit="1" customWidth="1"/>
    <col min="15604" max="15604" width="24.109375" customWidth="1"/>
    <col min="15606" max="15606" width="25.5546875" customWidth="1"/>
    <col min="15607" max="15607" width="25.33203125" customWidth="1"/>
    <col min="15608" max="15608" width="25.5546875" customWidth="1"/>
    <col min="15609" max="15611" width="23.44140625" customWidth="1"/>
    <col min="15612" max="15612" width="24.5546875" customWidth="1"/>
    <col min="15613" max="15613" width="25" customWidth="1"/>
    <col min="15614" max="15614" width="30.33203125" customWidth="1"/>
    <col min="15615" max="15615" width="8.44140625" customWidth="1"/>
    <col min="15617" max="15617" width="18.6640625" bestFit="1" customWidth="1"/>
    <col min="15618" max="15618" width="16.5546875" bestFit="1" customWidth="1"/>
    <col min="15619" max="15619" width="14" bestFit="1" customWidth="1"/>
    <col min="15623" max="15623" width="20.44140625" bestFit="1" customWidth="1"/>
    <col min="15624" max="15624" width="18.33203125" bestFit="1" customWidth="1"/>
    <col min="15625" max="15625" width="17.6640625" customWidth="1"/>
    <col min="15627" max="15628" width="16.5546875" bestFit="1" customWidth="1"/>
    <col min="15629" max="15629" width="15" bestFit="1" customWidth="1"/>
    <col min="15630" max="15630" width="18.33203125" bestFit="1" customWidth="1"/>
    <col min="15632" max="15632" width="15" bestFit="1" customWidth="1"/>
    <col min="15860" max="15860" width="24.109375" customWidth="1"/>
    <col min="15862" max="15862" width="25.5546875" customWidth="1"/>
    <col min="15863" max="15863" width="25.33203125" customWidth="1"/>
    <col min="15864" max="15864" width="25.5546875" customWidth="1"/>
    <col min="15865" max="15867" width="23.44140625" customWidth="1"/>
    <col min="15868" max="15868" width="24.5546875" customWidth="1"/>
    <col min="15869" max="15869" width="25" customWidth="1"/>
    <col min="15870" max="15870" width="30.33203125" customWidth="1"/>
    <col min="15871" max="15871" width="8.44140625" customWidth="1"/>
    <col min="15873" max="15873" width="18.6640625" bestFit="1" customWidth="1"/>
    <col min="15874" max="15874" width="16.5546875" bestFit="1" customWidth="1"/>
    <col min="15875" max="15875" width="14" bestFit="1" customWidth="1"/>
    <col min="15879" max="15879" width="20.44140625" bestFit="1" customWidth="1"/>
    <col min="15880" max="15880" width="18.33203125" bestFit="1" customWidth="1"/>
    <col min="15881" max="15881" width="17.6640625" customWidth="1"/>
    <col min="15883" max="15884" width="16.5546875" bestFit="1" customWidth="1"/>
    <col min="15885" max="15885" width="15" bestFit="1" customWidth="1"/>
    <col min="15886" max="15886" width="18.33203125" bestFit="1" customWidth="1"/>
    <col min="15888" max="15888" width="15" bestFit="1" customWidth="1"/>
    <col min="16116" max="16116" width="24.109375" customWidth="1"/>
    <col min="16118" max="16118" width="25.5546875" customWidth="1"/>
    <col min="16119" max="16119" width="25.33203125" customWidth="1"/>
    <col min="16120" max="16120" width="25.5546875" customWidth="1"/>
    <col min="16121" max="16123" width="23.44140625" customWidth="1"/>
    <col min="16124" max="16124" width="24.5546875" customWidth="1"/>
    <col min="16125" max="16125" width="25" customWidth="1"/>
    <col min="16126" max="16126" width="30.33203125" customWidth="1"/>
    <col min="16127" max="16127" width="8.44140625" customWidth="1"/>
    <col min="16129" max="16129" width="18.6640625" bestFit="1" customWidth="1"/>
    <col min="16130" max="16130" width="16.5546875" bestFit="1" customWidth="1"/>
    <col min="16131" max="16131" width="14" bestFit="1" customWidth="1"/>
    <col min="16135" max="16135" width="20.44140625" bestFit="1" customWidth="1"/>
    <col min="16136" max="16136" width="18.33203125" bestFit="1" customWidth="1"/>
    <col min="16137" max="16137" width="17.6640625" customWidth="1"/>
    <col min="16139" max="16140" width="16.5546875" bestFit="1" customWidth="1"/>
    <col min="16141" max="16141" width="15" bestFit="1" customWidth="1"/>
    <col min="16142" max="16142" width="18.33203125" bestFit="1" customWidth="1"/>
    <col min="16144" max="16144" width="15" bestFit="1" customWidth="1"/>
  </cols>
  <sheetData>
    <row r="1" spans="1:15" ht="30" customHeight="1" x14ac:dyDescent="0.45">
      <c r="A1" s="133" t="s">
        <v>114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5" ht="24.6" x14ac:dyDescent="0.4">
      <c r="A2" s="134" t="s">
        <v>115</v>
      </c>
      <c r="B2" s="135"/>
      <c r="C2" s="135"/>
      <c r="D2" s="135"/>
      <c r="E2" s="135"/>
      <c r="F2" s="135"/>
      <c r="G2" s="135"/>
      <c r="H2" s="135"/>
      <c r="I2" s="135"/>
      <c r="J2" s="135"/>
      <c r="K2" s="136"/>
    </row>
    <row r="3" spans="1:15" ht="36.75" customHeight="1" x14ac:dyDescent="0.35">
      <c r="A3" s="137" t="s">
        <v>171</v>
      </c>
      <c r="B3" s="138"/>
      <c r="C3" s="138"/>
      <c r="D3" s="138"/>
      <c r="E3" s="138"/>
      <c r="F3" s="138"/>
      <c r="G3" s="138"/>
      <c r="H3" s="138"/>
      <c r="I3" s="138"/>
      <c r="J3" s="138"/>
      <c r="K3" s="139"/>
    </row>
    <row r="4" spans="1:15" ht="18" x14ac:dyDescent="0.35">
      <c r="A4" s="77"/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78" t="s">
        <v>211</v>
      </c>
      <c r="K4" s="79"/>
    </row>
    <row r="5" spans="1:15" ht="71.25" customHeight="1" x14ac:dyDescent="0.35">
      <c r="A5" s="80" t="s">
        <v>0</v>
      </c>
      <c r="B5" s="80" t="s">
        <v>20</v>
      </c>
      <c r="C5" s="81" t="s">
        <v>1</v>
      </c>
      <c r="D5" s="99" t="s">
        <v>212</v>
      </c>
      <c r="E5" s="100" t="s">
        <v>112</v>
      </c>
      <c r="F5" s="99" t="s">
        <v>96</v>
      </c>
      <c r="G5" s="82" t="s">
        <v>97</v>
      </c>
      <c r="H5" s="82" t="s">
        <v>210</v>
      </c>
      <c r="I5" s="80" t="s">
        <v>170</v>
      </c>
      <c r="J5" s="80" t="s">
        <v>13</v>
      </c>
      <c r="K5" s="80" t="s">
        <v>0</v>
      </c>
    </row>
    <row r="6" spans="1:15" ht="18" x14ac:dyDescent="0.35">
      <c r="A6" s="83"/>
      <c r="B6" s="83"/>
      <c r="C6" s="83"/>
      <c r="D6" s="84" t="s">
        <v>110</v>
      </c>
      <c r="E6" s="84" t="s">
        <v>110</v>
      </c>
      <c r="F6" s="84" t="s">
        <v>110</v>
      </c>
      <c r="G6" s="84" t="s">
        <v>110</v>
      </c>
      <c r="H6" s="84" t="s">
        <v>110</v>
      </c>
      <c r="I6" s="84" t="s">
        <v>110</v>
      </c>
      <c r="J6" s="84" t="s">
        <v>110</v>
      </c>
      <c r="K6" s="83"/>
    </row>
    <row r="7" spans="1:15" ht="18" x14ac:dyDescent="0.35">
      <c r="A7" s="85">
        <v>1</v>
      </c>
      <c r="B7" s="83" t="s">
        <v>172</v>
      </c>
      <c r="C7" s="85">
        <v>17</v>
      </c>
      <c r="D7" s="101">
        <v>1410359072.8429124</v>
      </c>
      <c r="E7" s="83">
        <f>-226311255.4296</f>
        <v>-226311255.4296</v>
      </c>
      <c r="F7" s="83">
        <v>31223020.699999999</v>
      </c>
      <c r="G7" s="83">
        <v>2147906.3199999998</v>
      </c>
      <c r="H7" s="83">
        <v>43311899.995287366</v>
      </c>
      <c r="I7" s="83">
        <v>902572073.91540003</v>
      </c>
      <c r="J7" s="83">
        <f>D7+E7+F7+G7+H7+I7</f>
        <v>2163302718.3439999</v>
      </c>
      <c r="K7" s="86">
        <v>1</v>
      </c>
      <c r="M7" s="22"/>
      <c r="N7" s="24"/>
      <c r="O7" s="22">
        <f>M7-N7</f>
        <v>0</v>
      </c>
    </row>
    <row r="8" spans="1:15" ht="18" x14ac:dyDescent="0.35">
      <c r="A8" s="85">
        <v>2</v>
      </c>
      <c r="B8" s="83" t="s">
        <v>173</v>
      </c>
      <c r="C8" s="85">
        <v>21</v>
      </c>
      <c r="D8" s="101">
        <v>1778965550.8833981</v>
      </c>
      <c r="E8" s="83">
        <f>-279560962.5866</f>
        <v>-279560962.58660001</v>
      </c>
      <c r="F8" s="83">
        <v>39383359.369999997</v>
      </c>
      <c r="G8" s="83">
        <v>2709275.55</v>
      </c>
      <c r="H8" s="83">
        <v>54631745.576501943</v>
      </c>
      <c r="I8" s="83">
        <v>1048802870.393</v>
      </c>
      <c r="J8" s="83">
        <f t="shared" ref="J8:J43" si="0">D8+E8+F8+G8+H8+I8</f>
        <v>2644931839.1862998</v>
      </c>
      <c r="K8" s="86">
        <v>2</v>
      </c>
      <c r="M8" s="22"/>
      <c r="N8" s="24"/>
      <c r="O8" s="22">
        <f>M8-N8</f>
        <v>0</v>
      </c>
    </row>
    <row r="9" spans="1:15" ht="18" x14ac:dyDescent="0.35">
      <c r="A9" s="85">
        <v>3</v>
      </c>
      <c r="B9" s="87" t="s">
        <v>174</v>
      </c>
      <c r="C9" s="85">
        <v>31</v>
      </c>
      <c r="D9" s="101">
        <v>2369477576.8640776</v>
      </c>
      <c r="E9" s="83">
        <f>-412685230.4949</f>
        <v>-412685230.49489999</v>
      </c>
      <c r="F9" s="83">
        <v>52456320.409999996</v>
      </c>
      <c r="G9" s="83">
        <v>3608595.83</v>
      </c>
      <c r="H9" s="83">
        <v>72766274.785922319</v>
      </c>
      <c r="I9" s="83">
        <v>1478033127.908</v>
      </c>
      <c r="J9" s="83">
        <f t="shared" si="0"/>
        <v>3563656665.3030996</v>
      </c>
      <c r="K9" s="86">
        <v>3</v>
      </c>
    </row>
    <row r="10" spans="1:15" ht="18" x14ac:dyDescent="0.35">
      <c r="A10" s="85">
        <v>4</v>
      </c>
      <c r="B10" s="83" t="s">
        <v>175</v>
      </c>
      <c r="C10" s="85">
        <v>21</v>
      </c>
      <c r="D10" s="101">
        <v>1788579269.3256311</v>
      </c>
      <c r="E10" s="83">
        <f>-279560962.5924</f>
        <v>-279560962.59240001</v>
      </c>
      <c r="F10" s="83">
        <v>39596191.219999999</v>
      </c>
      <c r="G10" s="83">
        <v>2723916.76</v>
      </c>
      <c r="H10" s="83">
        <v>54926981.319768928</v>
      </c>
      <c r="I10" s="83">
        <v>1210678418.1429</v>
      </c>
      <c r="J10" s="83">
        <f t="shared" si="0"/>
        <v>2816943814.1759</v>
      </c>
      <c r="K10" s="86">
        <v>4</v>
      </c>
    </row>
    <row r="11" spans="1:15" ht="18" x14ac:dyDescent="0.35">
      <c r="A11" s="85">
        <v>5</v>
      </c>
      <c r="B11" s="83" t="s">
        <v>176</v>
      </c>
      <c r="C11" s="85">
        <v>20</v>
      </c>
      <c r="D11" s="101">
        <v>2030391408.2196116</v>
      </c>
      <c r="E11" s="83">
        <f>-266248535.7968</f>
        <v>-266248535.79679999</v>
      </c>
      <c r="F11" s="83">
        <v>44949512.630000003</v>
      </c>
      <c r="G11" s="83">
        <v>3092184.55</v>
      </c>
      <c r="H11" s="83">
        <v>62352993.166588351</v>
      </c>
      <c r="I11" s="83">
        <v>1186634389.3097</v>
      </c>
      <c r="J11" s="83">
        <f t="shared" si="0"/>
        <v>3061171952.0791001</v>
      </c>
      <c r="K11" s="86">
        <v>5</v>
      </c>
    </row>
    <row r="12" spans="1:15" ht="18" x14ac:dyDescent="0.35">
      <c r="A12" s="85">
        <v>6</v>
      </c>
      <c r="B12" s="83" t="s">
        <v>177</v>
      </c>
      <c r="C12" s="85">
        <v>8</v>
      </c>
      <c r="D12" s="101">
        <v>826443622.23805821</v>
      </c>
      <c r="E12" s="83">
        <f>-106499414.319</f>
        <v>-106499414.31900001</v>
      </c>
      <c r="F12" s="83">
        <v>18296096.940000001</v>
      </c>
      <c r="G12" s="83">
        <v>1258632.3</v>
      </c>
      <c r="H12" s="83">
        <v>25379950.547141742</v>
      </c>
      <c r="I12" s="83">
        <v>569544491.13349998</v>
      </c>
      <c r="J12" s="83">
        <f t="shared" si="0"/>
        <v>1334423378.8397</v>
      </c>
      <c r="K12" s="86">
        <v>6</v>
      </c>
    </row>
    <row r="13" spans="1:15" ht="18" x14ac:dyDescent="0.35">
      <c r="A13" s="85">
        <v>7</v>
      </c>
      <c r="B13" s="83" t="s">
        <v>178</v>
      </c>
      <c r="C13" s="85">
        <v>23</v>
      </c>
      <c r="D13" s="101">
        <v>2209380093.2521358</v>
      </c>
      <c r="E13" s="83">
        <f>-306185816.1711</f>
        <v>-306185816.17110002</v>
      </c>
      <c r="F13" s="83">
        <v>48912026.520000003</v>
      </c>
      <c r="G13" s="83">
        <v>3364775.37</v>
      </c>
      <c r="H13" s="83">
        <v>67849706.857564077</v>
      </c>
      <c r="I13" s="83">
        <v>1240368217.6552</v>
      </c>
      <c r="J13" s="83">
        <f t="shared" si="0"/>
        <v>3263689003.4837995</v>
      </c>
      <c r="K13" s="86">
        <v>7</v>
      </c>
    </row>
    <row r="14" spans="1:15" ht="18" x14ac:dyDescent="0.35">
      <c r="A14" s="85">
        <v>8</v>
      </c>
      <c r="B14" s="83" t="s">
        <v>179</v>
      </c>
      <c r="C14" s="85">
        <v>27</v>
      </c>
      <c r="D14" s="101">
        <v>2398724682.8628154</v>
      </c>
      <c r="E14" s="83">
        <f>-359435523.331</f>
        <v>-359435523.33099997</v>
      </c>
      <c r="F14" s="83">
        <v>53103803.039999999</v>
      </c>
      <c r="G14" s="83">
        <v>3653137.7</v>
      </c>
      <c r="H14" s="83">
        <v>73664448.705884457</v>
      </c>
      <c r="I14" s="83">
        <v>1362628018.8761001</v>
      </c>
      <c r="J14" s="83">
        <f t="shared" si="0"/>
        <v>3532338567.8538003</v>
      </c>
      <c r="K14" s="86">
        <v>8</v>
      </c>
    </row>
    <row r="15" spans="1:15" ht="36" x14ac:dyDescent="0.35">
      <c r="A15" s="85">
        <v>9</v>
      </c>
      <c r="B15" s="87" t="s">
        <v>180</v>
      </c>
      <c r="C15" s="85">
        <v>18</v>
      </c>
      <c r="D15" s="101">
        <v>1546382253.0346601</v>
      </c>
      <c r="E15" s="83">
        <f>-239623682.2244</f>
        <v>-239623682.22440001</v>
      </c>
      <c r="F15" s="83">
        <v>34234349.270000003</v>
      </c>
      <c r="G15" s="83">
        <v>2355062.8199999998</v>
      </c>
      <c r="H15" s="83">
        <v>47489149.951039799</v>
      </c>
      <c r="I15" s="83">
        <v>921199977.24899995</v>
      </c>
      <c r="J15" s="83">
        <f t="shared" si="0"/>
        <v>2312037110.1002998</v>
      </c>
      <c r="K15" s="86">
        <v>9</v>
      </c>
    </row>
    <row r="16" spans="1:15" ht="18" x14ac:dyDescent="0.35">
      <c r="A16" s="85">
        <v>10</v>
      </c>
      <c r="B16" s="83" t="s">
        <v>181</v>
      </c>
      <c r="C16" s="85">
        <v>25</v>
      </c>
      <c r="D16" s="101">
        <v>1981467072.0805826</v>
      </c>
      <c r="E16" s="83">
        <f>-332810669.7473</f>
        <v>-332810669.74730003</v>
      </c>
      <c r="F16" s="83">
        <v>43866408.630000003</v>
      </c>
      <c r="G16" s="83">
        <v>3017675.24</v>
      </c>
      <c r="H16" s="83">
        <v>60850534.682417467</v>
      </c>
      <c r="I16" s="83">
        <v>1425708866.7349</v>
      </c>
      <c r="J16" s="83">
        <f t="shared" si="0"/>
        <v>3182099887.6205997</v>
      </c>
      <c r="K16" s="86">
        <v>10</v>
      </c>
    </row>
    <row r="17" spans="1:11" ht="18" x14ac:dyDescent="0.35">
      <c r="A17" s="85">
        <v>11</v>
      </c>
      <c r="B17" s="83" t="s">
        <v>182</v>
      </c>
      <c r="C17" s="85">
        <v>13</v>
      </c>
      <c r="D17" s="101">
        <v>1143913930.5342717</v>
      </c>
      <c r="E17" s="83">
        <f>-184843861.7553</f>
        <v>-184843861.75529999</v>
      </c>
      <c r="F17" s="83">
        <v>25324365.27</v>
      </c>
      <c r="G17" s="83">
        <v>1742123.7</v>
      </c>
      <c r="H17" s="83">
        <v>35129412.586028151</v>
      </c>
      <c r="I17" s="83">
        <v>742726099.68560004</v>
      </c>
      <c r="J17" s="83">
        <f t="shared" si="0"/>
        <v>1763992070.0205998</v>
      </c>
      <c r="K17" s="86">
        <v>11</v>
      </c>
    </row>
    <row r="18" spans="1:11" ht="18" x14ac:dyDescent="0.35">
      <c r="A18" s="85">
        <v>12</v>
      </c>
      <c r="B18" s="83" t="s">
        <v>183</v>
      </c>
      <c r="C18" s="85">
        <v>18</v>
      </c>
      <c r="D18" s="101">
        <v>1516090503.2968934</v>
      </c>
      <c r="E18" s="83">
        <f>-239623682.2201</f>
        <v>-239623682.22009999</v>
      </c>
      <c r="F18" s="83">
        <v>33563739.950000003</v>
      </c>
      <c r="G18" s="83">
        <v>2308930</v>
      </c>
      <c r="H18" s="83">
        <v>46558895.198906794</v>
      </c>
      <c r="I18" s="83">
        <v>1104910247.1712</v>
      </c>
      <c r="J18" s="83">
        <f t="shared" si="0"/>
        <v>2463808633.3969002</v>
      </c>
      <c r="K18" s="86">
        <v>12</v>
      </c>
    </row>
    <row r="19" spans="1:11" ht="18" x14ac:dyDescent="0.35">
      <c r="A19" s="85">
        <v>13</v>
      </c>
      <c r="B19" s="83" t="s">
        <v>184</v>
      </c>
      <c r="C19" s="85">
        <v>16</v>
      </c>
      <c r="D19" s="101">
        <v>1203830839.6535921</v>
      </c>
      <c r="E19" s="83">
        <f>-212998828.6446</f>
        <v>-212998828.6446</v>
      </c>
      <c r="F19" s="83">
        <v>26650826.690000001</v>
      </c>
      <c r="G19" s="83">
        <v>1833374.15</v>
      </c>
      <c r="H19" s="83">
        <v>36969451.209607765</v>
      </c>
      <c r="I19" s="83">
        <v>810922245.88909996</v>
      </c>
      <c r="J19" s="83">
        <f t="shared" si="0"/>
        <v>1867207908.9476998</v>
      </c>
      <c r="K19" s="86">
        <v>13</v>
      </c>
    </row>
    <row r="20" spans="1:11" ht="18" x14ac:dyDescent="0.35">
      <c r="A20" s="85">
        <v>14</v>
      </c>
      <c r="B20" s="83" t="s">
        <v>185</v>
      </c>
      <c r="C20" s="85">
        <v>17</v>
      </c>
      <c r="D20" s="101">
        <v>1540370491.0703883</v>
      </c>
      <c r="E20" s="83">
        <f>-226311255.4262</f>
        <v>-226311255.4262</v>
      </c>
      <c r="F20" s="83">
        <v>34101258.780000001</v>
      </c>
      <c r="G20" s="83">
        <v>2345907.21</v>
      </c>
      <c r="H20" s="83">
        <v>47304529.712111637</v>
      </c>
      <c r="I20" s="83">
        <v>982708113.08969998</v>
      </c>
      <c r="J20" s="83">
        <f t="shared" si="0"/>
        <v>2380519044.4359999</v>
      </c>
      <c r="K20" s="86">
        <v>14</v>
      </c>
    </row>
    <row r="21" spans="1:11" ht="18" x14ac:dyDescent="0.35">
      <c r="A21" s="85">
        <v>15</v>
      </c>
      <c r="B21" s="83" t="s">
        <v>186</v>
      </c>
      <c r="C21" s="85">
        <v>11</v>
      </c>
      <c r="D21" s="101">
        <v>1055462936.3171843</v>
      </c>
      <c r="E21" s="83">
        <f>-146436694.6877</f>
        <v>-146436694.6877</v>
      </c>
      <c r="F21" s="83">
        <v>23366206.34</v>
      </c>
      <c r="G21" s="83">
        <v>1607417.26</v>
      </c>
      <c r="H21" s="83">
        <v>32413096.79951553</v>
      </c>
      <c r="I21" s="83">
        <v>666806647.07930005</v>
      </c>
      <c r="J21" s="83">
        <f t="shared" si="0"/>
        <v>1633219609.1082997</v>
      </c>
      <c r="K21" s="86">
        <v>15</v>
      </c>
    </row>
    <row r="22" spans="1:11" ht="18" x14ac:dyDescent="0.35">
      <c r="A22" s="85">
        <v>16</v>
      </c>
      <c r="B22" s="83" t="s">
        <v>187</v>
      </c>
      <c r="C22" s="85">
        <v>27</v>
      </c>
      <c r="D22" s="101">
        <v>2064439110.5885437</v>
      </c>
      <c r="E22" s="83">
        <f>-359435523.4251</f>
        <v>-359435523.42510003</v>
      </c>
      <c r="F22" s="83">
        <v>45703272.530000001</v>
      </c>
      <c r="G22" s="83">
        <v>3144037.5</v>
      </c>
      <c r="H22" s="83">
        <v>63398592.527656302</v>
      </c>
      <c r="I22" s="83">
        <v>1331513046.1946001</v>
      </c>
      <c r="J22" s="83">
        <f t="shared" si="0"/>
        <v>3148762535.9157</v>
      </c>
      <c r="K22" s="86">
        <v>16</v>
      </c>
    </row>
    <row r="23" spans="1:11" ht="18" x14ac:dyDescent="0.35">
      <c r="A23" s="85">
        <v>17</v>
      </c>
      <c r="B23" s="83" t="s">
        <v>188</v>
      </c>
      <c r="C23" s="85">
        <v>27</v>
      </c>
      <c r="D23" s="101">
        <v>2168887659.1884465</v>
      </c>
      <c r="E23" s="83">
        <f>-359435523.3323</f>
        <v>-359435523.33230001</v>
      </c>
      <c r="F23" s="83">
        <v>48015590.899999999</v>
      </c>
      <c r="G23" s="83">
        <v>3303107.41</v>
      </c>
      <c r="H23" s="83">
        <v>66606190.725653388</v>
      </c>
      <c r="I23" s="83">
        <v>1400463487.4858999</v>
      </c>
      <c r="J23" s="83">
        <f t="shared" si="0"/>
        <v>3327840512.3776999</v>
      </c>
      <c r="K23" s="86">
        <v>17</v>
      </c>
    </row>
    <row r="24" spans="1:11" ht="18" x14ac:dyDescent="0.35">
      <c r="A24" s="85">
        <v>18</v>
      </c>
      <c r="B24" s="83" t="s">
        <v>189</v>
      </c>
      <c r="C24" s="85">
        <v>23</v>
      </c>
      <c r="D24" s="101">
        <v>2439119544.8096118</v>
      </c>
      <c r="E24" s="83">
        <f>-306185816.1712</f>
        <v>-306185816.17119998</v>
      </c>
      <c r="F24" s="83">
        <v>53998078.57</v>
      </c>
      <c r="G24" s="83">
        <v>3714657.06</v>
      </c>
      <c r="H24" s="83">
        <v>74904968.414288327</v>
      </c>
      <c r="I24" s="83">
        <v>1494106058.0448999</v>
      </c>
      <c r="J24" s="83">
        <f t="shared" si="0"/>
        <v>3759657490.7276001</v>
      </c>
      <c r="K24" s="86">
        <v>18</v>
      </c>
    </row>
    <row r="25" spans="1:11" ht="18" x14ac:dyDescent="0.35">
      <c r="A25" s="85">
        <v>19</v>
      </c>
      <c r="B25" s="83" t="s">
        <v>190</v>
      </c>
      <c r="C25" s="85">
        <v>44</v>
      </c>
      <c r="D25" s="101">
        <v>3883287361.8556309</v>
      </c>
      <c r="E25" s="83">
        <f>-585746778.7617</f>
        <v>-585746778.76170003</v>
      </c>
      <c r="F25" s="83">
        <v>85969569.030000001</v>
      </c>
      <c r="G25" s="83">
        <v>5914052.4100000001</v>
      </c>
      <c r="H25" s="83">
        <v>119255129.49566892</v>
      </c>
      <c r="I25" s="83">
        <v>2749689149.6445999</v>
      </c>
      <c r="J25" s="83">
        <f t="shared" si="0"/>
        <v>6258368483.6742001</v>
      </c>
      <c r="K25" s="86">
        <v>19</v>
      </c>
    </row>
    <row r="26" spans="1:11" ht="18" x14ac:dyDescent="0.35">
      <c r="A26" s="85">
        <v>20</v>
      </c>
      <c r="B26" s="83" t="s">
        <v>191</v>
      </c>
      <c r="C26" s="85">
        <v>34</v>
      </c>
      <c r="D26" s="101">
        <v>2956412767.6907768</v>
      </c>
      <c r="E26" s="83">
        <f>-452622510.863</f>
        <v>-452622510.86299998</v>
      </c>
      <c r="F26" s="83">
        <v>65450096.229999997</v>
      </c>
      <c r="G26" s="83">
        <v>4502468.76</v>
      </c>
      <c r="H26" s="83">
        <v>90790959.980723292</v>
      </c>
      <c r="I26" s="83">
        <v>1790782342.9590001</v>
      </c>
      <c r="J26" s="83">
        <f t="shared" si="0"/>
        <v>4455316124.7575006</v>
      </c>
      <c r="K26" s="86">
        <v>20</v>
      </c>
    </row>
    <row r="27" spans="1:11" ht="18" x14ac:dyDescent="0.35">
      <c r="A27" s="85">
        <v>21</v>
      </c>
      <c r="B27" s="83" t="s">
        <v>192</v>
      </c>
      <c r="C27" s="85">
        <v>21</v>
      </c>
      <c r="D27" s="101">
        <v>1865813795.2049515</v>
      </c>
      <c r="E27" s="83">
        <f>-279560962.5923</f>
        <v>-279560962.5923</v>
      </c>
      <c r="F27" s="83">
        <v>41306036.07</v>
      </c>
      <c r="G27" s="83">
        <v>2841541.08</v>
      </c>
      <c r="H27" s="83">
        <v>57298841.166148536</v>
      </c>
      <c r="I27" s="83">
        <v>1065398038.0233001</v>
      </c>
      <c r="J27" s="83">
        <f t="shared" si="0"/>
        <v>2753097288.9520998</v>
      </c>
      <c r="K27" s="86">
        <v>21</v>
      </c>
    </row>
    <row r="28" spans="1:11" ht="18" x14ac:dyDescent="0.35">
      <c r="A28" s="85">
        <v>22</v>
      </c>
      <c r="B28" s="83" t="s">
        <v>193</v>
      </c>
      <c r="C28" s="85">
        <v>21</v>
      </c>
      <c r="D28" s="101">
        <v>1928455225.4337864</v>
      </c>
      <c r="E28" s="83">
        <f>-279560962.5854</f>
        <v>-279560962.58539999</v>
      </c>
      <c r="F28" s="83">
        <v>42692813.890000001</v>
      </c>
      <c r="G28" s="83">
        <v>2936940.84</v>
      </c>
      <c r="H28" s="83">
        <v>59222549.413013585</v>
      </c>
      <c r="I28" s="83">
        <v>1156578084.8941</v>
      </c>
      <c r="J28" s="83">
        <f t="shared" si="0"/>
        <v>2910324651.8855</v>
      </c>
      <c r="K28" s="86">
        <v>22</v>
      </c>
    </row>
    <row r="29" spans="1:11" ht="18" x14ac:dyDescent="0.35">
      <c r="A29" s="85">
        <v>23</v>
      </c>
      <c r="B29" s="83" t="s">
        <v>194</v>
      </c>
      <c r="C29" s="85">
        <v>16</v>
      </c>
      <c r="D29" s="101">
        <v>1364584067.8829126</v>
      </c>
      <c r="E29" s="83">
        <f>-212998828.6384</f>
        <v>-212998828.63839999</v>
      </c>
      <c r="F29" s="83">
        <v>30209637.68</v>
      </c>
      <c r="G29" s="83">
        <v>2078193.28</v>
      </c>
      <c r="H29" s="83">
        <v>41906156.966487378</v>
      </c>
      <c r="I29" s="83">
        <v>819571407.14090002</v>
      </c>
      <c r="J29" s="83">
        <f t="shared" si="0"/>
        <v>2045350634.3119001</v>
      </c>
      <c r="K29" s="86">
        <v>23</v>
      </c>
    </row>
    <row r="30" spans="1:11" ht="18" x14ac:dyDescent="0.35">
      <c r="A30" s="85">
        <v>24</v>
      </c>
      <c r="B30" s="83" t="s">
        <v>195</v>
      </c>
      <c r="C30" s="85">
        <v>20</v>
      </c>
      <c r="D30" s="101">
        <v>2324563758.0030098</v>
      </c>
      <c r="E30" s="83">
        <f>-266248535.7997</f>
        <v>-266248535.79969999</v>
      </c>
      <c r="F30" s="83">
        <v>51462002.640000001</v>
      </c>
      <c r="G30" s="83">
        <v>3540194.33</v>
      </c>
      <c r="H30" s="83">
        <v>71386978.650090277</v>
      </c>
      <c r="I30" s="83">
        <v>5518264144.3999996</v>
      </c>
      <c r="J30" s="83">
        <f t="shared" si="0"/>
        <v>7702968542.2234001</v>
      </c>
      <c r="K30" s="86">
        <v>24</v>
      </c>
    </row>
    <row r="31" spans="1:11" ht="36" x14ac:dyDescent="0.35">
      <c r="A31" s="85">
        <v>25</v>
      </c>
      <c r="B31" s="87" t="s">
        <v>196</v>
      </c>
      <c r="C31" s="85">
        <v>13</v>
      </c>
      <c r="D31" s="101">
        <v>1217444180.5836892</v>
      </c>
      <c r="E31" s="83">
        <f>-173061548.2678</f>
        <v>-173061548.2678</v>
      </c>
      <c r="F31" s="83">
        <v>26952203.579999998</v>
      </c>
      <c r="G31" s="83">
        <v>1854106.59</v>
      </c>
      <c r="H31" s="83">
        <v>37387514.727510676</v>
      </c>
      <c r="I31" s="83">
        <v>648375637.22239995</v>
      </c>
      <c r="J31" s="83">
        <f t="shared" si="0"/>
        <v>1758952094.4357998</v>
      </c>
      <c r="K31" s="86">
        <v>25</v>
      </c>
    </row>
    <row r="32" spans="1:11" ht="18" x14ac:dyDescent="0.35">
      <c r="A32" s="85">
        <v>26</v>
      </c>
      <c r="B32" s="83" t="s">
        <v>197</v>
      </c>
      <c r="C32" s="85">
        <v>25</v>
      </c>
      <c r="D32" s="101">
        <v>2253395268.1060195</v>
      </c>
      <c r="E32" s="83">
        <f>-332810669.7482</f>
        <v>-332810669.7482</v>
      </c>
      <c r="F32" s="83">
        <v>49886449.799999997</v>
      </c>
      <c r="G32" s="83">
        <v>3431808.28</v>
      </c>
      <c r="H32" s="83">
        <v>69201405.783180565</v>
      </c>
      <c r="I32" s="83">
        <v>1276868937.2911999</v>
      </c>
      <c r="J32" s="83">
        <f t="shared" si="0"/>
        <v>3319973199.5121999</v>
      </c>
      <c r="K32" s="86">
        <v>26</v>
      </c>
    </row>
    <row r="33" spans="1:13" ht="18" x14ac:dyDescent="0.35">
      <c r="A33" s="85">
        <v>27</v>
      </c>
      <c r="B33" s="83" t="s">
        <v>198</v>
      </c>
      <c r="C33" s="85">
        <v>20</v>
      </c>
      <c r="D33" s="101">
        <v>1607564036.8100972</v>
      </c>
      <c r="E33" s="83">
        <f>-266248535.7984</f>
        <v>-266248535.79840001</v>
      </c>
      <c r="F33" s="83">
        <v>35588812.920000002</v>
      </c>
      <c r="G33" s="83">
        <v>2448239.62</v>
      </c>
      <c r="H33" s="83">
        <v>49368032.684302904</v>
      </c>
      <c r="I33" s="83">
        <v>1134059020.0688</v>
      </c>
      <c r="J33" s="83">
        <f t="shared" si="0"/>
        <v>2562779606.3048</v>
      </c>
      <c r="K33" s="86">
        <v>27</v>
      </c>
    </row>
    <row r="34" spans="1:13" ht="18" x14ac:dyDescent="0.35">
      <c r="A34" s="85">
        <v>28</v>
      </c>
      <c r="B34" s="83" t="s">
        <v>199</v>
      </c>
      <c r="C34" s="85">
        <v>18</v>
      </c>
      <c r="D34" s="101">
        <v>1535325340.7133009</v>
      </c>
      <c r="E34" s="83">
        <f>-239623682.2212</f>
        <v>-239623682.22119999</v>
      </c>
      <c r="F34" s="83">
        <v>33989567.490000002</v>
      </c>
      <c r="G34" s="83">
        <v>2338223.7000000002</v>
      </c>
      <c r="H34" s="83">
        <v>47149593.951399028</v>
      </c>
      <c r="I34" s="83">
        <v>1039767539.3336</v>
      </c>
      <c r="J34" s="83">
        <f t="shared" si="0"/>
        <v>2418946582.9671001</v>
      </c>
      <c r="K34" s="86">
        <v>28</v>
      </c>
    </row>
    <row r="35" spans="1:13" ht="18" x14ac:dyDescent="0.35">
      <c r="A35" s="85">
        <v>29</v>
      </c>
      <c r="B35" s="83" t="s">
        <v>200</v>
      </c>
      <c r="C35" s="85">
        <v>30</v>
      </c>
      <c r="D35" s="101">
        <v>2079636991.9605825</v>
      </c>
      <c r="E35" s="83">
        <f>-399372803.7035</f>
        <v>-399372803.70349997</v>
      </c>
      <c r="F35" s="83">
        <v>46039728.530000001</v>
      </c>
      <c r="G35" s="83">
        <v>3167183.11</v>
      </c>
      <c r="H35" s="83">
        <v>63865317.108817473</v>
      </c>
      <c r="I35" s="83">
        <v>1378287541.0551</v>
      </c>
      <c r="J35" s="83">
        <f t="shared" si="0"/>
        <v>3171623958.0609999</v>
      </c>
      <c r="K35" s="86">
        <v>29</v>
      </c>
    </row>
    <row r="36" spans="1:13" ht="18" x14ac:dyDescent="0.35">
      <c r="A36" s="85">
        <v>30</v>
      </c>
      <c r="B36" s="83" t="s">
        <v>201</v>
      </c>
      <c r="C36" s="85">
        <v>33</v>
      </c>
      <c r="D36" s="101">
        <v>2623299803.0694175</v>
      </c>
      <c r="E36" s="83">
        <f>-439310084.0715</f>
        <v>-439310084.0715</v>
      </c>
      <c r="F36" s="83">
        <v>58075525.32</v>
      </c>
      <c r="G36" s="83">
        <v>3995154.38</v>
      </c>
      <c r="H36" s="83">
        <v>80561114.482082516</v>
      </c>
      <c r="I36" s="83">
        <v>2323185046.0890002</v>
      </c>
      <c r="J36" s="83">
        <f t="shared" si="0"/>
        <v>4649806559.269001</v>
      </c>
      <c r="K36" s="86">
        <v>30</v>
      </c>
    </row>
    <row r="37" spans="1:13" ht="18" x14ac:dyDescent="0.35">
      <c r="A37" s="85">
        <v>31</v>
      </c>
      <c r="B37" s="83" t="s">
        <v>202</v>
      </c>
      <c r="C37" s="85">
        <v>17</v>
      </c>
      <c r="D37" s="101">
        <v>1644457491.2126212</v>
      </c>
      <c r="E37" s="83">
        <f>-226311255.4252</f>
        <v>-226311255.42519999</v>
      </c>
      <c r="F37" s="83">
        <v>36405573.07</v>
      </c>
      <c r="G37" s="83">
        <v>2504426.5</v>
      </c>
      <c r="H37" s="83">
        <v>50501024.726378627</v>
      </c>
      <c r="I37" s="83">
        <v>945384714.07570004</v>
      </c>
      <c r="J37" s="83">
        <f t="shared" si="0"/>
        <v>2452941974.1595001</v>
      </c>
      <c r="K37" s="86">
        <v>31</v>
      </c>
    </row>
    <row r="38" spans="1:13" ht="18" x14ac:dyDescent="0.35">
      <c r="A38" s="85">
        <v>32</v>
      </c>
      <c r="B38" s="83" t="s">
        <v>203</v>
      </c>
      <c r="C38" s="85">
        <v>23</v>
      </c>
      <c r="D38" s="101">
        <v>2038396223.9830098</v>
      </c>
      <c r="E38" s="83">
        <f>-306185816.1747</f>
        <v>-306185816.17470002</v>
      </c>
      <c r="F38" s="83">
        <v>45126726.030000001</v>
      </c>
      <c r="G38" s="83">
        <v>3104375.49</v>
      </c>
      <c r="H38" s="83">
        <v>62598819.759490281</v>
      </c>
      <c r="I38" s="83">
        <v>2610091860.3267999</v>
      </c>
      <c r="J38" s="83">
        <f t="shared" si="0"/>
        <v>4453132189.4146004</v>
      </c>
      <c r="K38" s="86">
        <v>32</v>
      </c>
    </row>
    <row r="39" spans="1:13" ht="18" x14ac:dyDescent="0.35">
      <c r="A39" s="85">
        <v>33</v>
      </c>
      <c r="B39" s="83" t="s">
        <v>204</v>
      </c>
      <c r="C39" s="85">
        <v>23</v>
      </c>
      <c r="D39" s="101">
        <v>2052980492.2313592</v>
      </c>
      <c r="E39" s="83">
        <f>-306185816.1684</f>
        <v>-306185816.16839999</v>
      </c>
      <c r="F39" s="83">
        <v>45449597.649999999</v>
      </c>
      <c r="G39" s="83">
        <v>3126586.6</v>
      </c>
      <c r="H39" s="83">
        <v>63046700.296940766</v>
      </c>
      <c r="I39" s="83">
        <v>1213391566.9872999</v>
      </c>
      <c r="J39" s="83">
        <f t="shared" si="0"/>
        <v>3071809127.5971999</v>
      </c>
      <c r="K39" s="86">
        <v>33</v>
      </c>
    </row>
    <row r="40" spans="1:13" ht="18" x14ac:dyDescent="0.35">
      <c r="A40" s="85">
        <v>34</v>
      </c>
      <c r="B40" s="83" t="s">
        <v>205</v>
      </c>
      <c r="C40" s="85">
        <v>16</v>
      </c>
      <c r="D40" s="101">
        <v>1538715747.2996116</v>
      </c>
      <c r="E40" s="83">
        <f>-212998828.6435</f>
        <v>-212998828.6435</v>
      </c>
      <c r="F40" s="83">
        <v>34064625.490000002</v>
      </c>
      <c r="G40" s="83">
        <v>2343387.11</v>
      </c>
      <c r="H40" s="83">
        <v>47253712.788988344</v>
      </c>
      <c r="I40" s="83">
        <v>797959793.47160006</v>
      </c>
      <c r="J40" s="83">
        <f t="shared" si="0"/>
        <v>2207338437.5166998</v>
      </c>
      <c r="K40" s="86">
        <v>34</v>
      </c>
    </row>
    <row r="41" spans="1:13" ht="18" x14ac:dyDescent="0.35">
      <c r="A41" s="85">
        <v>35</v>
      </c>
      <c r="B41" s="83" t="s">
        <v>206</v>
      </c>
      <c r="C41" s="85">
        <v>17</v>
      </c>
      <c r="D41" s="101">
        <v>1547043834.8873787</v>
      </c>
      <c r="E41" s="83">
        <f>-226311255.4312</f>
        <v>-226311255.4312</v>
      </c>
      <c r="F41" s="83">
        <v>34248995.600000001</v>
      </c>
      <c r="G41" s="83">
        <v>2356070.38</v>
      </c>
      <c r="H41" s="83">
        <v>47509467.026621349</v>
      </c>
      <c r="I41" s="83">
        <v>888021375.06949997</v>
      </c>
      <c r="J41" s="83">
        <f t="shared" si="0"/>
        <v>2292868487.5323</v>
      </c>
      <c r="K41" s="86">
        <v>35</v>
      </c>
    </row>
    <row r="42" spans="1:13" ht="18" x14ac:dyDescent="0.35">
      <c r="A42" s="85">
        <v>36</v>
      </c>
      <c r="B42" s="83" t="s">
        <v>207</v>
      </c>
      <c r="C42" s="85">
        <v>14</v>
      </c>
      <c r="D42" s="101">
        <v>1397857521.8185437</v>
      </c>
      <c r="E42" s="83">
        <f>-186373975.0625</f>
        <v>-186373975.0625</v>
      </c>
      <c r="F42" s="83">
        <v>30946257</v>
      </c>
      <c r="G42" s="83">
        <v>2128867.08</v>
      </c>
      <c r="H42" s="83">
        <v>42927979.37455631</v>
      </c>
      <c r="I42" s="83">
        <v>827397392.82480001</v>
      </c>
      <c r="J42" s="83">
        <f t="shared" si="0"/>
        <v>2114884043.0353999</v>
      </c>
      <c r="K42" s="86">
        <v>36</v>
      </c>
    </row>
    <row r="43" spans="1:13" ht="18" x14ac:dyDescent="0.35">
      <c r="A43" s="85">
        <v>37</v>
      </c>
      <c r="B43" s="83" t="s">
        <v>208</v>
      </c>
      <c r="C43" s="85">
        <v>6</v>
      </c>
      <c r="D43" s="101">
        <v>617390728.0707767</v>
      </c>
      <c r="E43" s="83">
        <f>-79874560.7359</f>
        <v>-79874560.7359</v>
      </c>
      <c r="F43" s="83">
        <v>13668011.109999999</v>
      </c>
      <c r="G43" s="83">
        <v>940255.2</v>
      </c>
      <c r="H43" s="83">
        <v>18959969.832123294</v>
      </c>
      <c r="I43" s="83">
        <v>3146432424.8875999</v>
      </c>
      <c r="J43" s="83">
        <f t="shared" si="0"/>
        <v>3717516828.3646002</v>
      </c>
      <c r="K43" s="86">
        <v>37</v>
      </c>
    </row>
    <row r="44" spans="1:13" ht="18" x14ac:dyDescent="0.35">
      <c r="A44" s="85"/>
      <c r="B44" s="88" t="s">
        <v>209</v>
      </c>
      <c r="C44" s="83"/>
      <c r="D44" s="89">
        <f>SUM(D7:D43)</f>
        <v>67948910253.880287</v>
      </c>
      <c r="E44" s="89">
        <f>SUM(E7:E43)</f>
        <v>-10315600649.0481</v>
      </c>
      <c r="F44" s="89">
        <f>SUM(F7:F43)</f>
        <v>1504276656.8899999</v>
      </c>
      <c r="G44" s="89">
        <f t="shared" ref="G44:J44" si="1">SUM(G7:G43)</f>
        <v>103482791.46999998</v>
      </c>
      <c r="H44" s="89">
        <f>SUM(H7:H43)</f>
        <v>2086700090.9764085</v>
      </c>
      <c r="I44" s="89">
        <f t="shared" si="1"/>
        <v>51209832411.723297</v>
      </c>
      <c r="J44" s="89">
        <f t="shared" si="1"/>
        <v>112537601555.89191</v>
      </c>
      <c r="K44" s="86"/>
    </row>
    <row r="45" spans="1:13" ht="18" x14ac:dyDescent="0.35">
      <c r="A45" s="140"/>
      <c r="B45" s="141"/>
      <c r="C45" s="141"/>
      <c r="D45" s="141"/>
      <c r="E45" s="141"/>
      <c r="F45" s="141"/>
      <c r="G45" s="141"/>
      <c r="H45" s="141"/>
      <c r="I45" s="141"/>
      <c r="J45" s="141"/>
      <c r="K45" s="142"/>
      <c r="M45" s="22"/>
    </row>
    <row r="46" spans="1:13" x14ac:dyDescent="0.25">
      <c r="E46" s="23"/>
      <c r="G46" s="22"/>
      <c r="M46" s="22"/>
    </row>
    <row r="47" spans="1:13" x14ac:dyDescent="0.25">
      <c r="I47" s="23"/>
      <c r="M47" s="23"/>
    </row>
    <row r="48" spans="1:13" x14ac:dyDescent="0.25">
      <c r="J48" s="23"/>
    </row>
  </sheetData>
  <mergeCells count="4">
    <mergeCell ref="A1:K1"/>
    <mergeCell ref="A2:K2"/>
    <mergeCell ref="A3:K3"/>
    <mergeCell ref="A45:K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MONTHENTRY</vt:lpstr>
      <vt:lpstr>Sum &amp; FG</vt:lpstr>
      <vt:lpstr>SG Details</vt:lpstr>
      <vt:lpstr>States Ecology March 2021</vt:lpstr>
      <vt:lpstr>Sum Lgcs</vt:lpstr>
      <vt:lpstr>acctmonth</vt:lpstr>
      <vt:lpstr>previuosmonth</vt:lpstr>
      <vt:lpstr>'SG Details'!Print_Area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cp:lastPrinted>2021-08-02T15:37:35Z</cp:lastPrinted>
  <dcterms:created xsi:type="dcterms:W3CDTF">2003-11-12T08:54:16Z</dcterms:created>
  <dcterms:modified xsi:type="dcterms:W3CDTF">2022-01-31T10:41:49Z</dcterms:modified>
</cp:coreProperties>
</file>